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Congressional Report\2015_CongReport\"/>
    </mc:Choice>
  </mc:AlternateContent>
  <bookViews>
    <workbookView xWindow="120" yWindow="795" windowWidth="15600" windowHeight="7275" tabRatio="601" firstSheet="20" activeTab="77"/>
  </bookViews>
  <sheets>
    <sheet name="Summary" sheetId="35" state="hidden" r:id="rId1"/>
    <sheet name="BUB-Summary" sheetId="54" state="hidden" r:id="rId2"/>
    <sheet name="Aurora" sheetId="5" state="hidden" r:id="rId3"/>
    <sheet name="Sheet4 (3)" sheetId="91" r:id="rId4"/>
    <sheet name="Sheet4 (2)" sheetId="90" r:id="rId5"/>
    <sheet name="Summary2015" sheetId="55" r:id="rId6"/>
    <sheet name="Aurora_Lone District" sheetId="61" r:id="rId7"/>
    <sheet name="Bataan" sheetId="1" state="hidden" r:id="rId8"/>
    <sheet name="Bat" sheetId="84" r:id="rId9"/>
    <sheet name="Bat_1st" sheetId="62" r:id="rId10"/>
    <sheet name="Bat_2nd" sheetId="63" r:id="rId11"/>
    <sheet name="Bulacan" sheetId="6" state="hidden" r:id="rId12"/>
    <sheet name="Bul" sheetId="85" r:id="rId13"/>
    <sheet name="Bul_1st " sheetId="64" r:id="rId14"/>
    <sheet name="Bul_2nd" sheetId="65" r:id="rId15"/>
    <sheet name="Bul_3rd" sheetId="66" r:id="rId16"/>
    <sheet name="Bul_4th" sheetId="67" r:id="rId17"/>
    <sheet name="Bul_Lone" sheetId="68" r:id="rId18"/>
    <sheet name="Nueva Ecija" sheetId="7" state="hidden" r:id="rId19"/>
    <sheet name="NE" sheetId="86" r:id="rId20"/>
    <sheet name="NE_1st" sheetId="69" r:id="rId21"/>
    <sheet name="NE_2nd" sheetId="70" r:id="rId22"/>
    <sheet name="NE_3rd" sheetId="71" r:id="rId23"/>
    <sheet name="NE_4th" sheetId="72" r:id="rId24"/>
    <sheet name="Pampanga" sheetId="8" state="hidden" r:id="rId25"/>
    <sheet name="Pamp" sheetId="87" r:id="rId26"/>
    <sheet name="Pamp_1st" sheetId="73" r:id="rId27"/>
    <sheet name="Pamp_2nd" sheetId="74" r:id="rId28"/>
    <sheet name="Pamp_3rd" sheetId="75" r:id="rId29"/>
    <sheet name="Pamp_4th" sheetId="76" r:id="rId30"/>
    <sheet name="Tarlac" sheetId="9" state="hidden" r:id="rId31"/>
    <sheet name="Tar" sheetId="88" r:id="rId32"/>
    <sheet name="Tar_1st" sheetId="77" r:id="rId33"/>
    <sheet name="Tar_2nd" sheetId="78" r:id="rId34"/>
    <sheet name="Tar_3rd" sheetId="79" r:id="rId35"/>
    <sheet name="Zambales" sheetId="10" state="hidden" r:id="rId36"/>
    <sheet name="BUB-AURORA" sheetId="36" state="hidden" r:id="rId37"/>
    <sheet name="2nd Dist-Bataan (2)" sheetId="4" state="hidden" r:id="rId38"/>
    <sheet name="1D-Bat" sheetId="15" state="hidden" r:id="rId39"/>
    <sheet name="BUB-1D-Bat" sheetId="37" state="hidden" r:id="rId40"/>
    <sheet name="2D-Bat" sheetId="16" state="hidden" r:id="rId41"/>
    <sheet name="1D-Bul" sheetId="17" state="hidden" r:id="rId42"/>
    <sheet name="BUB-1D-Bul" sheetId="38" state="hidden" r:id="rId43"/>
    <sheet name="2D-Bul" sheetId="18" state="hidden" r:id="rId44"/>
    <sheet name="BUB-2D-Bul " sheetId="39" state="hidden" r:id="rId45"/>
    <sheet name="3D-Bul" sheetId="19" state="hidden" r:id="rId46"/>
    <sheet name="BUB-3D-Bul" sheetId="40" state="hidden" r:id="rId47"/>
    <sheet name="4D-Bul" sheetId="20" state="hidden" r:id="rId48"/>
    <sheet name="BUB-4D-Bul " sheetId="41" state="hidden" r:id="rId49"/>
    <sheet name="5D-Bul" sheetId="21" state="hidden" r:id="rId50"/>
    <sheet name="1D-NE" sheetId="22" state="hidden" r:id="rId51"/>
    <sheet name="BUB-1D-NE" sheetId="42" state="hidden" r:id="rId52"/>
    <sheet name="2D-NE" sheetId="23" state="hidden" r:id="rId53"/>
    <sheet name="BUB-2D-NE " sheetId="43" state="hidden" r:id="rId54"/>
    <sheet name="3D-NE" sheetId="24" state="hidden" r:id="rId55"/>
    <sheet name="BUB-3D-NE " sheetId="44" state="hidden" r:id="rId56"/>
    <sheet name="4D-NE" sheetId="25" state="hidden" r:id="rId57"/>
    <sheet name="1D-Pamp" sheetId="26" state="hidden" r:id="rId58"/>
    <sheet name="2D-Pamp " sheetId="27" state="hidden" r:id="rId59"/>
    <sheet name="BUB-2D-Pamp" sheetId="46" state="hidden" r:id="rId60"/>
    <sheet name="3D-Pamp " sheetId="28" state="hidden" r:id="rId61"/>
    <sheet name="BUB-3D-Pamp " sheetId="47" state="hidden" r:id="rId62"/>
    <sheet name="4D-Pamp" sheetId="29" state="hidden" r:id="rId63"/>
    <sheet name="BUB-4D-Pamp " sheetId="48" state="hidden" r:id="rId64"/>
    <sheet name="1D-Tarlac" sheetId="30" state="hidden" r:id="rId65"/>
    <sheet name="BUB-1D-Tarlac " sheetId="49" state="hidden" r:id="rId66"/>
    <sheet name="2D-Tarlac" sheetId="31" state="hidden" r:id="rId67"/>
    <sheet name="BUB-2D-Tarlac " sheetId="50" state="hidden" r:id="rId68"/>
    <sheet name="3D-Tarlac " sheetId="32" state="hidden" r:id="rId69"/>
    <sheet name="BUB-3D-Tarlac  " sheetId="51" state="hidden" r:id="rId70"/>
    <sheet name="1D-Zamb" sheetId="14" state="hidden" r:id="rId71"/>
    <sheet name="BUB-1D-Zamb" sheetId="52" state="hidden" r:id="rId72"/>
    <sheet name="2D-Zamb" sheetId="34" state="hidden" r:id="rId73"/>
    <sheet name="BUB-2D-Zamb" sheetId="53" state="hidden" r:id="rId74"/>
    <sheet name="Olongapo City" sheetId="57" state="hidden" r:id="rId75"/>
    <sheet name="Sheet2" sheetId="2" state="hidden" r:id="rId76"/>
    <sheet name="Sheet3" sheetId="3" state="hidden" r:id="rId77"/>
    <sheet name="Zamb" sheetId="89" r:id="rId78"/>
    <sheet name="Zamb_1st" sheetId="82" r:id="rId79"/>
    <sheet name="Zamb_2nd" sheetId="83" r:id="rId80"/>
    <sheet name="Sheet10" sheetId="80" r:id="rId81"/>
  </sheets>
  <externalReferences>
    <externalReference r:id="rId82"/>
  </externalReferences>
  <definedNames>
    <definedName name="_xlnm.Print_Area" localSheetId="38">'1D-Bat'!$A$1:$H$142</definedName>
    <definedName name="_xlnm.Print_Area" localSheetId="41">'1D-Bul'!$A$1:$H$102</definedName>
    <definedName name="_xlnm.Print_Area" localSheetId="50">'1D-NE'!$A$1:$H$158</definedName>
    <definedName name="_xlnm.Print_Area" localSheetId="57">'1D-Pamp'!$A$1:$H$99</definedName>
    <definedName name="_xlnm.Print_Area" localSheetId="64">'1D-Tarlac'!$A$1:$H$118</definedName>
    <definedName name="_xlnm.Print_Area" localSheetId="70">'1D-Zamb'!$A$1:$H$84</definedName>
    <definedName name="_xlnm.Print_Area" localSheetId="40">'2D-Bat'!$A$1:$H$94</definedName>
    <definedName name="_xlnm.Print_Area" localSheetId="43">'2D-Bul'!$A$1:$H$134</definedName>
    <definedName name="_xlnm.Print_Area" localSheetId="52">'2D-NE'!$A$1:$H$120</definedName>
    <definedName name="_xlnm.Print_Area" localSheetId="58">'2D-Pamp '!$A$1:$H$106</definedName>
    <definedName name="_xlnm.Print_Area" localSheetId="66">'2D-Tarlac'!$A$1:$H$92</definedName>
    <definedName name="_xlnm.Print_Area" localSheetId="72">'2D-Zamb'!$A$1:$H$133</definedName>
    <definedName name="_xlnm.Print_Area" localSheetId="37">'2nd Dist-Bataan (2)'!$A$1:$I$98</definedName>
    <definedName name="_xlnm.Print_Area" localSheetId="45">'3D-Bul'!$A$1:$H$147</definedName>
    <definedName name="_xlnm.Print_Area" localSheetId="54">'3D-NE'!$A$1:$H$157</definedName>
    <definedName name="_xlnm.Print_Area" localSheetId="60">'3D-Pamp '!$A$1:$H$73</definedName>
    <definedName name="_xlnm.Print_Area" localSheetId="68">'3D-Tarlac '!$A$1:$H$90</definedName>
    <definedName name="_xlnm.Print_Area" localSheetId="47">'4D-Bul'!$A$1:$H$100</definedName>
    <definedName name="_xlnm.Print_Area" localSheetId="56">'4D-NE'!$A$1:$H$151</definedName>
    <definedName name="_xlnm.Print_Area" localSheetId="62">'4D-Pamp'!$A$1:$H$110</definedName>
    <definedName name="_xlnm.Print_Area" localSheetId="49">'5D-Bul'!$A$1:$H$80</definedName>
    <definedName name="_xlnm.Print_Area" localSheetId="2">Aurora!$A$1:$J$129</definedName>
    <definedName name="_xlnm.Print_Area" localSheetId="6">'Aurora_Lone District'!$A$1:$M$62</definedName>
    <definedName name="_xlnm.Print_Area" localSheetId="8">Bat!$A$1:$M$64</definedName>
    <definedName name="_xlnm.Print_Area" localSheetId="9">Bat_1st!$A$1:$M$40</definedName>
    <definedName name="_xlnm.Print_Area" localSheetId="10">Bat_2nd!$A$1:$M$42</definedName>
    <definedName name="_xlnm.Print_Area" localSheetId="7">Bataan!$A$1:$J$193</definedName>
    <definedName name="_xlnm.Print_Area" localSheetId="39">'BUB-1D-Bat'!$A$1:$E$15</definedName>
    <definedName name="_xlnm.Print_Area" localSheetId="42">'BUB-1D-Bul'!$A$1:$E$13</definedName>
    <definedName name="_xlnm.Print_Area" localSheetId="51">'BUB-1D-NE'!$A$1:$E$14</definedName>
    <definedName name="_xlnm.Print_Area" localSheetId="65">'BUB-1D-Tarlac '!$A$1:$E$14</definedName>
    <definedName name="_xlnm.Print_Area" localSheetId="71">'BUB-1D-Zamb'!$A$1:$E$14</definedName>
    <definedName name="_xlnm.Print_Area" localSheetId="44">'BUB-2D-Bul '!$A$1:$E$13</definedName>
    <definedName name="_xlnm.Print_Area" localSheetId="53">'BUB-2D-NE '!$A$1:$E$16</definedName>
    <definedName name="_xlnm.Print_Area" localSheetId="59">'BUB-2D-Pamp'!$A$1:$E$15</definedName>
    <definedName name="_xlnm.Print_Area" localSheetId="67">'BUB-2D-Tarlac '!$A$1:$E$15</definedName>
    <definedName name="_xlnm.Print_Area" localSheetId="73">'BUB-2D-Zamb'!$A$1:$E$14</definedName>
    <definedName name="_xlnm.Print_Area" localSheetId="46">'BUB-3D-Bul'!$A$1:$E$13</definedName>
    <definedName name="_xlnm.Print_Area" localSheetId="55">'BUB-3D-NE '!$A$1:$E$15</definedName>
    <definedName name="_xlnm.Print_Area" localSheetId="61">'BUB-3D-Pamp '!$A$1:$E$13</definedName>
    <definedName name="_xlnm.Print_Area" localSheetId="69">'BUB-3D-Tarlac  '!$A$1:$E$14</definedName>
    <definedName name="_xlnm.Print_Area" localSheetId="48">'BUB-4D-Bul '!$A$1:$E$14</definedName>
    <definedName name="_xlnm.Print_Area" localSheetId="63">'BUB-4D-Pamp '!$A$1:$E$18</definedName>
    <definedName name="_xlnm.Print_Area" localSheetId="36">'BUB-AURORA'!$A$1:$F$15</definedName>
    <definedName name="_xlnm.Print_Area" localSheetId="1">'BUB-Summary'!$A$1:$F$84</definedName>
    <definedName name="_xlnm.Print_Area" localSheetId="12">Bul!$A$1:$M$150</definedName>
    <definedName name="_xlnm.Print_Area" localSheetId="13">'Bul_1st '!$A$1:$M$41</definedName>
    <definedName name="_xlnm.Print_Area" localSheetId="14">Bul_2nd!$A$1:$M$43</definedName>
    <definedName name="_xlnm.Print_Area" localSheetId="15">Bul_3rd!$A$1:$M$51</definedName>
    <definedName name="_xlnm.Print_Area" localSheetId="16">Bul_4th!$A$1:$M$37</definedName>
    <definedName name="_xlnm.Print_Area" localSheetId="17">Bul_Lone!$A$1:$M$26</definedName>
    <definedName name="_xlnm.Print_Area" localSheetId="11">Bulacan!$A$1:$J$366</definedName>
    <definedName name="_xlnm.Print_Area" localSheetId="19">NE!$A$1:$M$185</definedName>
    <definedName name="_xlnm.Print_Area" localSheetId="20">NE_1st!$A$1:$M$64</definedName>
    <definedName name="_xlnm.Print_Area" localSheetId="21">NE_2nd!$A$1:$M$46</definedName>
    <definedName name="_xlnm.Print_Area" localSheetId="22">NE_3rd!$A$1:$M$57</definedName>
    <definedName name="_xlnm.Print_Area" localSheetId="23">NE_4th!$A$1:$M$48</definedName>
    <definedName name="_xlnm.Print_Area" localSheetId="18">'Nueva Ecija'!$A$1:$H$417</definedName>
    <definedName name="_xlnm.Print_Area" localSheetId="74">'Olongapo City'!$A$1:$G$52</definedName>
    <definedName name="_xlnm.Print_Area" localSheetId="25">Pamp!$A$1:$M$132</definedName>
    <definedName name="_xlnm.Print_Area" localSheetId="26">Pamp_1st!$A$1:$M$33</definedName>
    <definedName name="_xlnm.Print_Area" localSheetId="27">Pamp_2nd!$A$1:$M$41</definedName>
    <definedName name="_xlnm.Print_Area" localSheetId="28">Pamp_3rd!$A$1:$M$48</definedName>
    <definedName name="_xlnm.Print_Area" localSheetId="29">Pamp_4th!$A$1:$M$67</definedName>
    <definedName name="_xlnm.Print_Area" localSheetId="24">Pampanga!$A$1:$H$457</definedName>
    <definedName name="_xlnm.Print_Area" localSheetId="3">'Sheet4 (3)'!$A$1:$M$130</definedName>
    <definedName name="_xlnm.Print_Area" localSheetId="0">Summary!$A$1:$I$365</definedName>
    <definedName name="_xlnm.Print_Area" localSheetId="5">Summary2015!$A$1:$M$69</definedName>
    <definedName name="_xlnm.Print_Area" localSheetId="31">Tar!$A$1:$M$110</definedName>
    <definedName name="_xlnm.Print_Area" localSheetId="32">Tar_1st!$A$1:$M$68</definedName>
    <definedName name="_xlnm.Print_Area" localSheetId="33">Tar_2nd!$A$1:$M$34</definedName>
    <definedName name="_xlnm.Print_Area" localSheetId="34">Tar_3rd!$A$1:$M$43</definedName>
    <definedName name="_xlnm.Print_Area" localSheetId="30">Tarlac!$A$1:$H$254</definedName>
    <definedName name="_xlnm.Print_Area" localSheetId="77">Zamb!$A$1:$M$91</definedName>
    <definedName name="_xlnm.Print_Area" localSheetId="78">Zamb_1st!$A$1:$M$35</definedName>
    <definedName name="_xlnm.Print_Area" localSheetId="79">Zamb_2nd!$A$1:$M$75</definedName>
    <definedName name="_xlnm.Print_Area" localSheetId="35">Zambales!$A$1:$H$230</definedName>
    <definedName name="_xlnm.Print_Titles" localSheetId="38">'1D-Bat'!$7:$8</definedName>
    <definedName name="_xlnm.Print_Titles" localSheetId="41">'1D-Bul'!$7:$8</definedName>
    <definedName name="_xlnm.Print_Titles" localSheetId="50">'1D-NE'!$7:$8</definedName>
    <definedName name="_xlnm.Print_Titles" localSheetId="57">'1D-Pamp'!$7:$8</definedName>
    <definedName name="_xlnm.Print_Titles" localSheetId="64">'1D-Tarlac'!$7:$8</definedName>
    <definedName name="_xlnm.Print_Titles" localSheetId="70">'1D-Zamb'!$7:$8</definedName>
    <definedName name="_xlnm.Print_Titles" localSheetId="40">'2D-Bat'!$7:$8</definedName>
    <definedName name="_xlnm.Print_Titles" localSheetId="43">'2D-Bul'!$7:$8</definedName>
    <definedName name="_xlnm.Print_Titles" localSheetId="52">'2D-NE'!$7:$8</definedName>
    <definedName name="_xlnm.Print_Titles" localSheetId="58">'2D-Pamp '!$7:$8</definedName>
    <definedName name="_xlnm.Print_Titles" localSheetId="66">'2D-Tarlac'!$7:$8</definedName>
    <definedName name="_xlnm.Print_Titles" localSheetId="72">'2D-Zamb'!$7:$8</definedName>
    <definedName name="_xlnm.Print_Titles" localSheetId="37">'2nd Dist-Bataan (2)'!$8:$9</definedName>
    <definedName name="_xlnm.Print_Titles" localSheetId="45">'3D-Bul'!$7:$8</definedName>
    <definedName name="_xlnm.Print_Titles" localSheetId="54">'3D-NE'!$7:$8</definedName>
    <definedName name="_xlnm.Print_Titles" localSheetId="60">'3D-Pamp '!$7:$8</definedName>
    <definedName name="_xlnm.Print_Titles" localSheetId="68">'3D-Tarlac '!$7:$8</definedName>
    <definedName name="_xlnm.Print_Titles" localSheetId="47">'4D-Bul'!$7:$8</definedName>
    <definedName name="_xlnm.Print_Titles" localSheetId="56">'4D-NE'!$7:$8</definedName>
    <definedName name="_xlnm.Print_Titles" localSheetId="62">'4D-Pamp'!$7:$8</definedName>
    <definedName name="_xlnm.Print_Titles" localSheetId="49">'5D-Bul'!$7:$8</definedName>
    <definedName name="_xlnm.Print_Titles" localSheetId="2">Aurora!$6:$7</definedName>
    <definedName name="_xlnm.Print_Titles" localSheetId="7">Bataan!$7:$8</definedName>
    <definedName name="_xlnm.Print_Titles" localSheetId="39">'BUB-1D-Bat'!$6:$7</definedName>
    <definedName name="_xlnm.Print_Titles" localSheetId="42">'BUB-1D-Bul'!$6:$7</definedName>
    <definedName name="_xlnm.Print_Titles" localSheetId="51">'BUB-1D-NE'!$6:$7</definedName>
    <definedName name="_xlnm.Print_Titles" localSheetId="65">'BUB-1D-Tarlac '!$6:$7</definedName>
    <definedName name="_xlnm.Print_Titles" localSheetId="71">'BUB-1D-Zamb'!$6:$7</definedName>
    <definedName name="_xlnm.Print_Titles" localSheetId="44">'BUB-2D-Bul '!$6:$7</definedName>
    <definedName name="_xlnm.Print_Titles" localSheetId="53">'BUB-2D-NE '!$6:$7</definedName>
    <definedName name="_xlnm.Print_Titles" localSheetId="59">'BUB-2D-Pamp'!$6:$7</definedName>
    <definedName name="_xlnm.Print_Titles" localSheetId="67">'BUB-2D-Tarlac '!$6:$7</definedName>
    <definedName name="_xlnm.Print_Titles" localSheetId="73">'BUB-2D-Zamb'!$6:$7</definedName>
    <definedName name="_xlnm.Print_Titles" localSheetId="46">'BUB-3D-Bul'!$6:$7</definedName>
    <definedName name="_xlnm.Print_Titles" localSheetId="55">'BUB-3D-NE '!$6:$7</definedName>
    <definedName name="_xlnm.Print_Titles" localSheetId="61">'BUB-3D-Pamp '!$6:$7</definedName>
    <definedName name="_xlnm.Print_Titles" localSheetId="69">'BUB-3D-Tarlac  '!$6:$7</definedName>
    <definedName name="_xlnm.Print_Titles" localSheetId="48">'BUB-4D-Bul '!$6:$7</definedName>
    <definedName name="_xlnm.Print_Titles" localSheetId="63">'BUB-4D-Pamp '!$6:$7</definedName>
    <definedName name="_xlnm.Print_Titles" localSheetId="36">'BUB-AURORA'!$6:$7</definedName>
    <definedName name="_xlnm.Print_Titles" localSheetId="1">'BUB-Summary'!$5:$6</definedName>
    <definedName name="_xlnm.Print_Titles" localSheetId="11">Bulacan!$7:$8</definedName>
    <definedName name="_xlnm.Print_Titles" localSheetId="18">'Nueva Ecija'!$7:$8</definedName>
    <definedName name="_xlnm.Print_Titles" localSheetId="74">'Olongapo City'!$6:$7</definedName>
    <definedName name="_xlnm.Print_Titles" localSheetId="24">Pampanga!$7:$8</definedName>
    <definedName name="_xlnm.Print_Titles" localSheetId="3">'Sheet4 (3)'!$6:$6</definedName>
    <definedName name="_xlnm.Print_Titles" localSheetId="0">Summary!$1:$7</definedName>
    <definedName name="_xlnm.Print_Titles" localSheetId="30">Tarlac!$7:$8</definedName>
    <definedName name="_xlnm.Print_Titles" localSheetId="35">Zambales!$7:$8</definedName>
  </definedNames>
  <calcPr calcId="152511"/>
</workbook>
</file>

<file path=xl/calcChain.xml><?xml version="1.0" encoding="utf-8"?>
<calcChain xmlns="http://schemas.openxmlformats.org/spreadsheetml/2006/main">
  <c r="E29" i="83" l="1"/>
  <c r="E30" i="83"/>
  <c r="E31" i="83"/>
  <c r="E32" i="83"/>
  <c r="E33" i="83"/>
  <c r="E34" i="83"/>
  <c r="E35" i="83"/>
  <c r="E36" i="83"/>
  <c r="E37" i="83"/>
  <c r="E28" i="83"/>
  <c r="E23" i="82"/>
  <c r="E24" i="82"/>
  <c r="E25" i="82"/>
  <c r="E22" i="82"/>
  <c r="E23" i="79"/>
  <c r="E24" i="79"/>
  <c r="E25" i="79"/>
  <c r="E22" i="79"/>
  <c r="E23" i="78"/>
  <c r="E24" i="78"/>
  <c r="E25" i="78"/>
  <c r="E22" i="78"/>
  <c r="E29" i="77"/>
  <c r="E30" i="77"/>
  <c r="E31" i="77"/>
  <c r="E32" i="77"/>
  <c r="E33" i="77"/>
  <c r="E34" i="77"/>
  <c r="E35" i="77"/>
  <c r="E36" i="77"/>
  <c r="E37" i="77"/>
  <c r="E28" i="77"/>
  <c r="E27" i="76"/>
  <c r="E28" i="76"/>
  <c r="E29" i="76"/>
  <c r="E30" i="76"/>
  <c r="E31" i="76"/>
  <c r="E32" i="76"/>
  <c r="E33" i="76"/>
  <c r="E26" i="76"/>
  <c r="E24" i="75"/>
  <c r="E25" i="75"/>
  <c r="E26" i="75"/>
  <c r="E27" i="75"/>
  <c r="E23" i="75"/>
  <c r="E25" i="74"/>
  <c r="E26" i="74"/>
  <c r="E27" i="74"/>
  <c r="E28" i="74"/>
  <c r="E29" i="74"/>
  <c r="E24" i="74"/>
  <c r="E22" i="73"/>
  <c r="E23" i="73"/>
  <c r="E21" i="73"/>
  <c r="E17" i="74"/>
  <c r="E27" i="72"/>
  <c r="E28" i="72"/>
  <c r="E29" i="72"/>
  <c r="E30" i="72"/>
  <c r="E31" i="72"/>
  <c r="E32" i="72"/>
  <c r="E33" i="72"/>
  <c r="E26" i="72"/>
  <c r="E26" i="71"/>
  <c r="E27" i="71"/>
  <c r="E28" i="71"/>
  <c r="E29" i="71"/>
  <c r="E30" i="71"/>
  <c r="E31" i="71"/>
  <c r="E25" i="71"/>
  <c r="E27" i="70"/>
  <c r="E28" i="70"/>
  <c r="E29" i="70"/>
  <c r="E30" i="70"/>
  <c r="E31" i="70"/>
  <c r="E32" i="70"/>
  <c r="E33" i="70"/>
  <c r="E26" i="70"/>
  <c r="E28" i="69"/>
  <c r="E29" i="69"/>
  <c r="E30" i="69"/>
  <c r="E31" i="69"/>
  <c r="E32" i="69"/>
  <c r="E33" i="69"/>
  <c r="E34" i="69"/>
  <c r="E35" i="69"/>
  <c r="E27" i="69"/>
  <c r="E19" i="68"/>
  <c r="E24" i="67"/>
  <c r="E25" i="67"/>
  <c r="E26" i="67"/>
  <c r="E23" i="67"/>
  <c r="E25" i="66"/>
  <c r="E26" i="66"/>
  <c r="E27" i="66"/>
  <c r="E28" i="66"/>
  <c r="E29" i="66"/>
  <c r="E24" i="66"/>
  <c r="E26" i="65"/>
  <c r="E27" i="65"/>
  <c r="E28" i="65"/>
  <c r="E29" i="65"/>
  <c r="E30" i="65"/>
  <c r="E31" i="65"/>
  <c r="E25" i="65"/>
  <c r="E25" i="64"/>
  <c r="E26" i="64"/>
  <c r="E27" i="64"/>
  <c r="E28" i="64"/>
  <c r="E29" i="64"/>
  <c r="E24" i="64"/>
  <c r="E26" i="63"/>
  <c r="E27" i="63"/>
  <c r="E28" i="63"/>
  <c r="E29" i="63"/>
  <c r="E30" i="63"/>
  <c r="E25" i="63"/>
  <c r="E24" i="62"/>
  <c r="E25" i="62"/>
  <c r="E26" i="62"/>
  <c r="E27" i="62"/>
  <c r="E28" i="62"/>
  <c r="E23" i="62"/>
  <c r="B12" i="62"/>
  <c r="E26" i="61"/>
  <c r="E27" i="61"/>
  <c r="E28" i="61"/>
  <c r="E29" i="61"/>
  <c r="E30" i="61"/>
  <c r="E31" i="61"/>
  <c r="E32" i="61"/>
  <c r="E25" i="61"/>
  <c r="BJ36" i="90" l="1"/>
  <c r="BI36" i="90"/>
  <c r="BF36" i="90"/>
  <c r="BE36" i="90"/>
  <c r="BJ32" i="90"/>
  <c r="BI32" i="90"/>
  <c r="BF32" i="90"/>
  <c r="BE32" i="90"/>
  <c r="BJ27" i="90"/>
  <c r="BI27" i="90"/>
  <c r="BF27" i="90"/>
  <c r="BE27" i="90"/>
  <c r="BJ22" i="90"/>
  <c r="BI22" i="90"/>
  <c r="BF22" i="90"/>
  <c r="BE22" i="90"/>
  <c r="BJ16" i="90"/>
  <c r="BI16" i="90"/>
  <c r="BF16" i="90"/>
  <c r="BE16" i="90"/>
  <c r="BH15" i="90"/>
  <c r="BJ13" i="90"/>
  <c r="BI13" i="90"/>
  <c r="BF13" i="90"/>
  <c r="BF11" i="90" s="1"/>
  <c r="BE13" i="90"/>
  <c r="BE11" i="90" s="1"/>
  <c r="AF13" i="90"/>
  <c r="AK36" i="90"/>
  <c r="AJ36" i="90"/>
  <c r="AG36" i="90"/>
  <c r="AF36" i="90"/>
  <c r="AK32" i="90"/>
  <c r="AJ32" i="90"/>
  <c r="AG32" i="90"/>
  <c r="AF32" i="90"/>
  <c r="AK27" i="90"/>
  <c r="AJ27" i="90"/>
  <c r="AG27" i="90"/>
  <c r="AF27" i="90"/>
  <c r="AK22" i="90"/>
  <c r="AJ22" i="90"/>
  <c r="AG22" i="90"/>
  <c r="AF22" i="90"/>
  <c r="AK16" i="90"/>
  <c r="AK11" i="90" s="1"/>
  <c r="AJ16" i="90"/>
  <c r="AG16" i="90"/>
  <c r="AF16" i="90"/>
  <c r="AK13" i="90"/>
  <c r="AJ13" i="90"/>
  <c r="AJ11" i="90" s="1"/>
  <c r="AG13" i="90"/>
  <c r="BI11" i="90" l="1"/>
  <c r="BJ11" i="90"/>
  <c r="AG11" i="90"/>
  <c r="AF11" i="90"/>
  <c r="E27" i="77"/>
  <c r="W33" i="90" s="1"/>
  <c r="Y38" i="90"/>
  <c r="AN38" i="90" s="1"/>
  <c r="Y37" i="90"/>
  <c r="AN37" i="90" s="1"/>
  <c r="Y35" i="90"/>
  <c r="AN35" i="90" s="1"/>
  <c r="Y34" i="90"/>
  <c r="AN34" i="90" s="1"/>
  <c r="Y33" i="90"/>
  <c r="AN33" i="90" s="1"/>
  <c r="Y31" i="90"/>
  <c r="AN31" i="90" s="1"/>
  <c r="Y30" i="90"/>
  <c r="AN30" i="90" s="1"/>
  <c r="Y29" i="90"/>
  <c r="AN29" i="90" s="1"/>
  <c r="Y28" i="90"/>
  <c r="AN28" i="90" s="1"/>
  <c r="AN27" i="90" s="1"/>
  <c r="Y26" i="90"/>
  <c r="AN26" i="90" s="1"/>
  <c r="Y25" i="90"/>
  <c r="AN25" i="90" s="1"/>
  <c r="Y24" i="90"/>
  <c r="AN24" i="90" s="1"/>
  <c r="Y23" i="90"/>
  <c r="AN23" i="90" s="1"/>
  <c r="Y21" i="90"/>
  <c r="AN21" i="90" s="1"/>
  <c r="Y20" i="90"/>
  <c r="AN20" i="90" s="1"/>
  <c r="Y19" i="90"/>
  <c r="AN19" i="90" s="1"/>
  <c r="Y18" i="90"/>
  <c r="AN18" i="90" s="1"/>
  <c r="Y17" i="90"/>
  <c r="AN17" i="90" s="1"/>
  <c r="Y15" i="90"/>
  <c r="AN15" i="90" s="1"/>
  <c r="Y14" i="90"/>
  <c r="AN14" i="90" s="1"/>
  <c r="AN13" i="90" s="1"/>
  <c r="Y12" i="90"/>
  <c r="AN12" i="90" s="1"/>
  <c r="L22" i="90"/>
  <c r="M36" i="90"/>
  <c r="L36" i="90"/>
  <c r="M32" i="90"/>
  <c r="L32" i="90"/>
  <c r="M27" i="90"/>
  <c r="L27" i="90"/>
  <c r="M22" i="90"/>
  <c r="M16" i="90"/>
  <c r="L16" i="90"/>
  <c r="M13" i="90"/>
  <c r="L13" i="90"/>
  <c r="S36" i="90"/>
  <c r="R36" i="90"/>
  <c r="S32" i="90"/>
  <c r="R32" i="90"/>
  <c r="S27" i="90"/>
  <c r="R27" i="90"/>
  <c r="S22" i="90"/>
  <c r="R22" i="90"/>
  <c r="S16" i="90"/>
  <c r="R16" i="90"/>
  <c r="S13" i="90"/>
  <c r="R13" i="90"/>
  <c r="X36" i="90"/>
  <c r="X32" i="90"/>
  <c r="Y27" i="90"/>
  <c r="X27" i="90"/>
  <c r="X22" i="90"/>
  <c r="X16" i="90"/>
  <c r="X13" i="90"/>
  <c r="AE36" i="90"/>
  <c r="AD36" i="90"/>
  <c r="AE32" i="90"/>
  <c r="AD32" i="90"/>
  <c r="AE27" i="90"/>
  <c r="AD27" i="90"/>
  <c r="AE22" i="90"/>
  <c r="AD22" i="90"/>
  <c r="AE16" i="90"/>
  <c r="AD16" i="90"/>
  <c r="AE13" i="90"/>
  <c r="AD13" i="90"/>
  <c r="G36" i="90"/>
  <c r="F36" i="90"/>
  <c r="C36" i="90"/>
  <c r="B36" i="90"/>
  <c r="G32" i="90"/>
  <c r="F32" i="90"/>
  <c r="C32" i="90"/>
  <c r="B32" i="90"/>
  <c r="G27" i="90"/>
  <c r="F27" i="90"/>
  <c r="C27" i="90"/>
  <c r="B27" i="90"/>
  <c r="G22" i="90"/>
  <c r="F22" i="90"/>
  <c r="C22" i="90"/>
  <c r="B22" i="90"/>
  <c r="G16" i="90"/>
  <c r="F16" i="90"/>
  <c r="C16" i="90"/>
  <c r="B16" i="90"/>
  <c r="G13" i="90"/>
  <c r="F13" i="90"/>
  <c r="E13" i="90"/>
  <c r="D13" i="90"/>
  <c r="C13" i="90"/>
  <c r="B13" i="90"/>
  <c r="W34" i="90" l="1"/>
  <c r="Y36" i="90"/>
  <c r="Y13" i="90"/>
  <c r="AN32" i="90"/>
  <c r="Y16" i="90"/>
  <c r="AN16" i="90"/>
  <c r="AN36" i="90"/>
  <c r="AN22" i="90"/>
  <c r="AN11" i="90" s="1"/>
  <c r="AE11" i="90"/>
  <c r="Y32" i="90"/>
  <c r="AD11" i="90"/>
  <c r="Y22" i="90"/>
  <c r="Y11" i="90" s="1"/>
  <c r="X11" i="90"/>
  <c r="B11" i="90"/>
  <c r="F11" i="90"/>
  <c r="S11" i="90"/>
  <c r="R11" i="90"/>
  <c r="M11" i="90"/>
  <c r="L11" i="90"/>
  <c r="C11" i="90"/>
  <c r="G11" i="90"/>
  <c r="D14" i="85"/>
  <c r="E14" i="85"/>
  <c r="D15" i="85"/>
  <c r="E15" i="85"/>
  <c r="D16" i="85"/>
  <c r="E16" i="85"/>
  <c r="D17" i="85"/>
  <c r="E17" i="85"/>
  <c r="D18" i="85"/>
  <c r="E18" i="85"/>
  <c r="D19" i="85"/>
  <c r="E19" i="85"/>
  <c r="M39" i="84" l="1"/>
  <c r="M40" i="84"/>
  <c r="M41" i="84"/>
  <c r="M42" i="84"/>
  <c r="M43" i="84"/>
  <c r="M44" i="84"/>
  <c r="L40" i="84"/>
  <c r="L41" i="84"/>
  <c r="L42" i="84"/>
  <c r="L43" i="84"/>
  <c r="L44" i="84"/>
  <c r="L39" i="84"/>
  <c r="I13" i="89" l="1"/>
  <c r="I14" i="89"/>
  <c r="I15" i="89"/>
  <c r="I16" i="89"/>
  <c r="H14" i="89"/>
  <c r="H15" i="89"/>
  <c r="H16" i="89"/>
  <c r="H13" i="89"/>
  <c r="M82" i="86" l="1"/>
  <c r="M83" i="86"/>
  <c r="M84" i="86"/>
  <c r="M85" i="86"/>
  <c r="M86" i="86"/>
  <c r="M87" i="86"/>
  <c r="M88" i="86"/>
  <c r="M89" i="86"/>
  <c r="L83" i="86"/>
  <c r="L84" i="86"/>
  <c r="L85" i="86"/>
  <c r="L86" i="86"/>
  <c r="L87" i="86"/>
  <c r="L88" i="86"/>
  <c r="L89" i="86"/>
  <c r="L82" i="86"/>
  <c r="D131" i="86"/>
  <c r="E131" i="86"/>
  <c r="D132" i="86"/>
  <c r="E132" i="86"/>
  <c r="D133" i="86"/>
  <c r="E133" i="86"/>
  <c r="D134" i="86"/>
  <c r="E134" i="86"/>
  <c r="D135" i="86"/>
  <c r="E135" i="86"/>
  <c r="D136" i="86"/>
  <c r="E136" i="86"/>
  <c r="D137" i="86"/>
  <c r="E137" i="86"/>
  <c r="D138" i="86"/>
  <c r="E138" i="86"/>
  <c r="E130" i="86"/>
  <c r="D130" i="86"/>
  <c r="E112" i="85"/>
  <c r="D112" i="85"/>
  <c r="E59" i="84"/>
  <c r="E60" i="84"/>
  <c r="E61" i="84"/>
  <c r="E62" i="84"/>
  <c r="E63" i="84"/>
  <c r="E64" i="84"/>
  <c r="D64" i="84"/>
  <c r="D60" i="84"/>
  <c r="D61" i="84"/>
  <c r="D62" i="84"/>
  <c r="D63" i="84"/>
  <c r="D59" i="84"/>
  <c r="E36" i="63" l="1"/>
  <c r="D36" i="63"/>
  <c r="BG15" i="90" s="1"/>
  <c r="C36" i="63"/>
  <c r="B36" i="63"/>
  <c r="G36" i="83" l="1"/>
  <c r="F36" i="83"/>
  <c r="F35" i="83"/>
  <c r="G34" i="83"/>
  <c r="G32" i="83"/>
  <c r="F32" i="83"/>
  <c r="G31" i="83"/>
  <c r="F31" i="83"/>
  <c r="F30" i="83"/>
  <c r="G29" i="83"/>
  <c r="F29" i="83"/>
  <c r="G28" i="83"/>
  <c r="F28" i="83"/>
  <c r="C37" i="83"/>
  <c r="C36" i="83"/>
  <c r="C35" i="83"/>
  <c r="C34" i="83"/>
  <c r="C33" i="83"/>
  <c r="C32" i="83"/>
  <c r="C31" i="83"/>
  <c r="C30" i="83"/>
  <c r="C29" i="83"/>
  <c r="C28" i="83"/>
  <c r="G22" i="83"/>
  <c r="G21" i="83"/>
  <c r="G20" i="83"/>
  <c r="G19" i="83"/>
  <c r="G18" i="83"/>
  <c r="G17" i="83"/>
  <c r="G16" i="83"/>
  <c r="G15" i="83"/>
  <c r="G14" i="83"/>
  <c r="G13" i="83"/>
  <c r="K22" i="83"/>
  <c r="K21" i="83"/>
  <c r="K20" i="83"/>
  <c r="K19" i="83"/>
  <c r="K18" i="83"/>
  <c r="K17" i="83"/>
  <c r="K16" i="83"/>
  <c r="K15" i="83"/>
  <c r="K14" i="83"/>
  <c r="K13" i="83"/>
  <c r="B22" i="83"/>
  <c r="C22" i="83" s="1"/>
  <c r="B21" i="83"/>
  <c r="C21" i="83" s="1"/>
  <c r="C20" i="83"/>
  <c r="B19" i="83"/>
  <c r="C19" i="83" s="1"/>
  <c r="C18" i="83"/>
  <c r="C17" i="83"/>
  <c r="B16" i="83"/>
  <c r="C16" i="83" s="1"/>
  <c r="C15" i="83"/>
  <c r="C14" i="83"/>
  <c r="B13" i="83"/>
  <c r="C13" i="83" s="1"/>
  <c r="G25" i="82"/>
  <c r="F24" i="82"/>
  <c r="G23" i="82"/>
  <c r="F23" i="82"/>
  <c r="G22" i="82"/>
  <c r="F22" i="82"/>
  <c r="C25" i="82"/>
  <c r="C24" i="82"/>
  <c r="C23" i="82"/>
  <c r="C22" i="82"/>
  <c r="G16" i="82"/>
  <c r="G15" i="82"/>
  <c r="G14" i="82"/>
  <c r="G13" i="82"/>
  <c r="K16" i="82"/>
  <c r="K15" i="82"/>
  <c r="K14" i="82"/>
  <c r="K13" i="82"/>
  <c r="B16" i="82"/>
  <c r="C16" i="82" s="1"/>
  <c r="B15" i="82"/>
  <c r="C15" i="82" s="1"/>
  <c r="B14" i="82"/>
  <c r="C14" i="82" s="1"/>
  <c r="C13" i="82"/>
  <c r="B13" i="82"/>
  <c r="G25" i="79"/>
  <c r="G24" i="79"/>
  <c r="C25" i="79"/>
  <c r="C24" i="79"/>
  <c r="C23" i="79"/>
  <c r="C22" i="79"/>
  <c r="G16" i="79"/>
  <c r="G15" i="79"/>
  <c r="G14" i="79"/>
  <c r="G13" i="79"/>
  <c r="K16" i="79"/>
  <c r="K15" i="79"/>
  <c r="K14" i="79"/>
  <c r="K13" i="79"/>
  <c r="C16" i="79"/>
  <c r="C15" i="79"/>
  <c r="C14" i="79"/>
  <c r="C13" i="79"/>
  <c r="G25" i="78"/>
  <c r="G24" i="78"/>
  <c r="G22" i="78"/>
  <c r="C25" i="78"/>
  <c r="C24" i="78"/>
  <c r="C23" i="78"/>
  <c r="C22" i="78"/>
  <c r="G16" i="78"/>
  <c r="G15" i="78"/>
  <c r="G14" i="78"/>
  <c r="G13" i="78"/>
  <c r="K16" i="78"/>
  <c r="K15" i="78"/>
  <c r="K14" i="78"/>
  <c r="K13" i="78"/>
  <c r="C16" i="78"/>
  <c r="C15" i="78"/>
  <c r="B14" i="78"/>
  <c r="C14" i="78" s="1"/>
  <c r="C13" i="78"/>
  <c r="G37" i="77"/>
  <c r="G34" i="77"/>
  <c r="G32" i="77"/>
  <c r="F32" i="77"/>
  <c r="G30" i="77"/>
  <c r="F30" i="77"/>
  <c r="G28" i="77"/>
  <c r="C37" i="77"/>
  <c r="C36" i="77"/>
  <c r="C35" i="77"/>
  <c r="C34" i="77"/>
  <c r="C33" i="77"/>
  <c r="C32" i="77"/>
  <c r="C31" i="77"/>
  <c r="C30" i="77"/>
  <c r="C29" i="77"/>
  <c r="C28" i="77"/>
  <c r="G22" i="77"/>
  <c r="G21" i="77"/>
  <c r="G20" i="77"/>
  <c r="G19" i="77"/>
  <c r="G18" i="77"/>
  <c r="G17" i="77"/>
  <c r="G16" i="77"/>
  <c r="G15" i="77"/>
  <c r="G14" i="77"/>
  <c r="G13" i="77"/>
  <c r="K22" i="77"/>
  <c r="K21" i="77"/>
  <c r="K20" i="77"/>
  <c r="K19" i="77"/>
  <c r="K18" i="77"/>
  <c r="K17" i="77"/>
  <c r="K16" i="77"/>
  <c r="K15" i="77"/>
  <c r="K14" i="77"/>
  <c r="K13" i="77"/>
  <c r="C22" i="77"/>
  <c r="C21" i="77"/>
  <c r="C20" i="77"/>
  <c r="C19" i="77"/>
  <c r="C18" i="77"/>
  <c r="C17" i="77"/>
  <c r="C16" i="77"/>
  <c r="C15" i="77"/>
  <c r="C14" i="77"/>
  <c r="C13" i="77"/>
  <c r="G30" i="76"/>
  <c r="G29" i="76"/>
  <c r="G27" i="76"/>
  <c r="F27" i="76"/>
  <c r="G26" i="76"/>
  <c r="F26" i="76"/>
  <c r="C33" i="76"/>
  <c r="C32" i="76"/>
  <c r="C31" i="76"/>
  <c r="C30" i="76"/>
  <c r="C29" i="76"/>
  <c r="C28" i="76"/>
  <c r="C27" i="76"/>
  <c r="C26" i="76"/>
  <c r="G20" i="76"/>
  <c r="G19" i="76"/>
  <c r="G18" i="76"/>
  <c r="G17" i="76"/>
  <c r="G16" i="76"/>
  <c r="G15" i="76"/>
  <c r="G14" i="76"/>
  <c r="G13" i="76"/>
  <c r="K20" i="76"/>
  <c r="K19" i="76"/>
  <c r="K18" i="76"/>
  <c r="K17" i="76"/>
  <c r="K16" i="76"/>
  <c r="K15" i="76"/>
  <c r="K14" i="76"/>
  <c r="K13" i="76"/>
  <c r="C20" i="76"/>
  <c r="C19" i="76"/>
  <c r="C18" i="76"/>
  <c r="C17" i="76"/>
  <c r="C16" i="76"/>
  <c r="C15" i="76"/>
  <c r="C14" i="76"/>
  <c r="C13" i="76"/>
  <c r="G27" i="75"/>
  <c r="G26" i="75"/>
  <c r="G25" i="75"/>
  <c r="F23" i="75"/>
  <c r="C27" i="75"/>
  <c r="C26" i="75"/>
  <c r="C25" i="75"/>
  <c r="C24" i="75"/>
  <c r="C23" i="75"/>
  <c r="G17" i="75"/>
  <c r="G16" i="75"/>
  <c r="G15" i="75"/>
  <c r="G14" i="75"/>
  <c r="G13" i="75"/>
  <c r="K17" i="75"/>
  <c r="K16" i="75"/>
  <c r="K15" i="75"/>
  <c r="K14" i="75"/>
  <c r="K13" i="75"/>
  <c r="C17" i="75"/>
  <c r="C16" i="75"/>
  <c r="C15" i="75"/>
  <c r="C14" i="75"/>
  <c r="C13" i="75"/>
  <c r="G29" i="74"/>
  <c r="F29" i="74"/>
  <c r="G25" i="74"/>
  <c r="C29" i="74"/>
  <c r="C28" i="74"/>
  <c r="C27" i="74"/>
  <c r="C26" i="74"/>
  <c r="C25" i="74"/>
  <c r="C24" i="74"/>
  <c r="K18" i="74"/>
  <c r="K17" i="74"/>
  <c r="K16" i="74"/>
  <c r="K15" i="74"/>
  <c r="K14" i="74"/>
  <c r="K13" i="74"/>
  <c r="G18" i="74"/>
  <c r="G17" i="74"/>
  <c r="G16" i="74"/>
  <c r="G15" i="74"/>
  <c r="G14" i="74"/>
  <c r="G13" i="74"/>
  <c r="C18" i="74"/>
  <c r="C17" i="74"/>
  <c r="B16" i="74"/>
  <c r="C16" i="74" s="1"/>
  <c r="C15" i="74"/>
  <c r="C14" i="74"/>
  <c r="B13" i="74"/>
  <c r="C13" i="74" s="1"/>
  <c r="F22" i="73"/>
  <c r="G21" i="73"/>
  <c r="F21" i="73"/>
  <c r="C23" i="73"/>
  <c r="C22" i="73"/>
  <c r="C21" i="73"/>
  <c r="K15" i="73"/>
  <c r="K14" i="73"/>
  <c r="K13" i="73"/>
  <c r="G15" i="73"/>
  <c r="G14" i="73"/>
  <c r="G13" i="73"/>
  <c r="C15" i="73"/>
  <c r="B14" i="73"/>
  <c r="C14" i="73" s="1"/>
  <c r="B13" i="73"/>
  <c r="C13" i="73" s="1"/>
  <c r="G32" i="72"/>
  <c r="F32" i="72"/>
  <c r="G31" i="72"/>
  <c r="F31" i="72"/>
  <c r="G30" i="72"/>
  <c r="G29" i="72"/>
  <c r="F29" i="72"/>
  <c r="G27" i="72"/>
  <c r="F27" i="72"/>
  <c r="G26" i="72"/>
  <c r="F26" i="72"/>
  <c r="C33" i="72"/>
  <c r="C32" i="72"/>
  <c r="C31" i="72"/>
  <c r="C30" i="72"/>
  <c r="C29" i="72"/>
  <c r="C28" i="72"/>
  <c r="C27" i="72"/>
  <c r="C26" i="72"/>
  <c r="K20" i="72"/>
  <c r="K19" i="72"/>
  <c r="K18" i="72"/>
  <c r="K17" i="72"/>
  <c r="K16" i="72"/>
  <c r="K15" i="72"/>
  <c r="K14" i="72"/>
  <c r="K13" i="72"/>
  <c r="G20" i="72"/>
  <c r="G19" i="72"/>
  <c r="G18" i="72"/>
  <c r="G17" i="72"/>
  <c r="G16" i="72"/>
  <c r="G15" i="72"/>
  <c r="G14" i="72"/>
  <c r="G13" i="72"/>
  <c r="C20" i="72"/>
  <c r="C19" i="72"/>
  <c r="C18" i="72"/>
  <c r="C17" i="72"/>
  <c r="C16" i="72"/>
  <c r="B15" i="72"/>
  <c r="C15" i="72" s="1"/>
  <c r="C14" i="72"/>
  <c r="C13" i="72"/>
  <c r="G29" i="71"/>
  <c r="F29" i="71"/>
  <c r="G28" i="71"/>
  <c r="F28" i="71"/>
  <c r="G26" i="71"/>
  <c r="F26" i="71"/>
  <c r="G25" i="71"/>
  <c r="F25" i="71"/>
  <c r="C31" i="71"/>
  <c r="C30" i="71"/>
  <c r="C29" i="71"/>
  <c r="C28" i="71"/>
  <c r="C27" i="71"/>
  <c r="C26" i="71"/>
  <c r="C25" i="71"/>
  <c r="K19" i="71"/>
  <c r="K18" i="71"/>
  <c r="K17" i="71"/>
  <c r="K16" i="71"/>
  <c r="K15" i="71"/>
  <c r="K14" i="71"/>
  <c r="K13" i="71"/>
  <c r="G19" i="71"/>
  <c r="G18" i="71"/>
  <c r="G17" i="71"/>
  <c r="G16" i="71"/>
  <c r="G15" i="71"/>
  <c r="G14" i="71"/>
  <c r="G13" i="71"/>
  <c r="C19" i="71"/>
  <c r="C18" i="71"/>
  <c r="B17" i="71"/>
  <c r="C17" i="71" s="1"/>
  <c r="C16" i="71"/>
  <c r="B15" i="71"/>
  <c r="C15" i="71" s="1"/>
  <c r="C14" i="71"/>
  <c r="B13" i="71"/>
  <c r="C13" i="71" s="1"/>
  <c r="G33" i="70"/>
  <c r="G32" i="70"/>
  <c r="F32" i="70"/>
  <c r="F31" i="70"/>
  <c r="G30" i="70"/>
  <c r="F29" i="70"/>
  <c r="G28" i="70"/>
  <c r="F28" i="70"/>
  <c r="G27" i="70"/>
  <c r="G26" i="70"/>
  <c r="F26" i="70"/>
  <c r="C33" i="70"/>
  <c r="C32" i="70"/>
  <c r="C31" i="70"/>
  <c r="C30" i="70"/>
  <c r="C29" i="70"/>
  <c r="C28" i="70"/>
  <c r="C27" i="70"/>
  <c r="C26" i="70"/>
  <c r="K20" i="70"/>
  <c r="K19" i="70"/>
  <c r="K18" i="70"/>
  <c r="K17" i="70"/>
  <c r="K16" i="70"/>
  <c r="K15" i="70"/>
  <c r="K14" i="70"/>
  <c r="K13" i="70"/>
  <c r="G20" i="70"/>
  <c r="G19" i="70"/>
  <c r="G18" i="70"/>
  <c r="G17" i="70"/>
  <c r="G16" i="70"/>
  <c r="G15" i="70"/>
  <c r="G14" i="70"/>
  <c r="G13" i="70"/>
  <c r="C20" i="70"/>
  <c r="C19" i="70"/>
  <c r="B18" i="70"/>
  <c r="C18" i="70" s="1"/>
  <c r="C17" i="70"/>
  <c r="B16" i="70"/>
  <c r="C16" i="70" s="1"/>
  <c r="B15" i="70"/>
  <c r="C15" i="70" s="1"/>
  <c r="C14" i="70"/>
  <c r="B13" i="70"/>
  <c r="C13" i="70" s="1"/>
  <c r="G35" i="69"/>
  <c r="F35" i="69"/>
  <c r="G34" i="69"/>
  <c r="F34" i="69"/>
  <c r="G33" i="69"/>
  <c r="G32" i="69"/>
  <c r="F32" i="69"/>
  <c r="G31" i="69"/>
  <c r="F31" i="69"/>
  <c r="C35" i="69"/>
  <c r="C34" i="69"/>
  <c r="C33" i="69"/>
  <c r="C32" i="69"/>
  <c r="C31" i="69"/>
  <c r="C30" i="69"/>
  <c r="C29" i="69"/>
  <c r="C28" i="69"/>
  <c r="C27" i="69"/>
  <c r="K21" i="69"/>
  <c r="K20" i="69"/>
  <c r="K19" i="69"/>
  <c r="K18" i="69"/>
  <c r="K17" i="69"/>
  <c r="K16" i="69"/>
  <c r="K15" i="69"/>
  <c r="K14" i="69"/>
  <c r="K13" i="69"/>
  <c r="G21" i="69"/>
  <c r="G20" i="69"/>
  <c r="G19" i="69"/>
  <c r="G18" i="69"/>
  <c r="G17" i="69"/>
  <c r="G16" i="69"/>
  <c r="G15" i="69"/>
  <c r="G14" i="69"/>
  <c r="G13" i="69"/>
  <c r="C21" i="69"/>
  <c r="C20" i="69"/>
  <c r="C19" i="69"/>
  <c r="C18" i="69"/>
  <c r="C17" i="69"/>
  <c r="C16" i="69"/>
  <c r="C15" i="69"/>
  <c r="C14" i="69"/>
  <c r="C13" i="69"/>
  <c r="G19" i="68"/>
  <c r="F19" i="68"/>
  <c r="C19" i="68"/>
  <c r="K13" i="68"/>
  <c r="G13" i="68"/>
  <c r="C13" i="68"/>
  <c r="G24" i="67"/>
  <c r="G23" i="67"/>
  <c r="C26" i="67"/>
  <c r="C25" i="67"/>
  <c r="C24" i="67"/>
  <c r="C23" i="67"/>
  <c r="K16" i="67"/>
  <c r="K15" i="67"/>
  <c r="K14" i="67"/>
  <c r="K13" i="67"/>
  <c r="G16" i="67"/>
  <c r="G15" i="67"/>
  <c r="G14" i="67"/>
  <c r="G13" i="67"/>
  <c r="C16" i="67"/>
  <c r="C15" i="67"/>
  <c r="C14" i="67"/>
  <c r="C13" i="67"/>
  <c r="G29" i="66"/>
  <c r="F29" i="66"/>
  <c r="F28" i="66"/>
  <c r="G27" i="66"/>
  <c r="F27" i="66"/>
  <c r="G24" i="66"/>
  <c r="C29" i="66"/>
  <c r="C28" i="66"/>
  <c r="C27" i="66"/>
  <c r="C26" i="66"/>
  <c r="C25" i="66"/>
  <c r="C24" i="66"/>
  <c r="K18" i="66"/>
  <c r="K17" i="66"/>
  <c r="K16" i="66"/>
  <c r="K15" i="66"/>
  <c r="K14" i="66"/>
  <c r="K13" i="66"/>
  <c r="G18" i="66"/>
  <c r="G17" i="66"/>
  <c r="G16" i="66"/>
  <c r="G15" i="66"/>
  <c r="G14" i="66"/>
  <c r="G13" i="66"/>
  <c r="C18" i="66"/>
  <c r="C17" i="66"/>
  <c r="C16" i="66"/>
  <c r="C15" i="66"/>
  <c r="C14" i="66"/>
  <c r="C13" i="66"/>
  <c r="G31" i="65"/>
  <c r="F30" i="65"/>
  <c r="G28" i="65"/>
  <c r="G27" i="65"/>
  <c r="F27" i="65"/>
  <c r="G26" i="65"/>
  <c r="F26" i="65"/>
  <c r="C31" i="65"/>
  <c r="C30" i="65"/>
  <c r="C29" i="65"/>
  <c r="C28" i="65"/>
  <c r="C27" i="65"/>
  <c r="C26" i="65"/>
  <c r="C25" i="65"/>
  <c r="K19" i="65"/>
  <c r="K18" i="65"/>
  <c r="K17" i="65"/>
  <c r="K16" i="65"/>
  <c r="K15" i="65"/>
  <c r="K14" i="65"/>
  <c r="K13" i="65"/>
  <c r="G19" i="65"/>
  <c r="G18" i="65"/>
  <c r="G17" i="65"/>
  <c r="G16" i="65"/>
  <c r="G15" i="65"/>
  <c r="G14" i="65"/>
  <c r="G13" i="65"/>
  <c r="C19" i="65"/>
  <c r="C18" i="65"/>
  <c r="C17" i="65"/>
  <c r="C16" i="65"/>
  <c r="C15" i="65"/>
  <c r="C14" i="65"/>
  <c r="C13" i="65"/>
  <c r="G29" i="64"/>
  <c r="F29" i="64"/>
  <c r="G25" i="64"/>
  <c r="G24" i="64"/>
  <c r="F24" i="64"/>
  <c r="C29" i="64"/>
  <c r="C28" i="64"/>
  <c r="C27" i="64"/>
  <c r="C26" i="64"/>
  <c r="C25" i="64"/>
  <c r="C24" i="64"/>
  <c r="K18" i="64"/>
  <c r="K17" i="64"/>
  <c r="K16" i="64"/>
  <c r="K15" i="64"/>
  <c r="K14" i="64"/>
  <c r="K13" i="64"/>
  <c r="G18" i="64"/>
  <c r="G17" i="64"/>
  <c r="G16" i="64"/>
  <c r="G15" i="64"/>
  <c r="G14" i="64"/>
  <c r="G13" i="64"/>
  <c r="C18" i="64"/>
  <c r="C17" i="64"/>
  <c r="C16" i="64"/>
  <c r="C15" i="64"/>
  <c r="C14" i="64"/>
  <c r="C13" i="64"/>
  <c r="G30" i="63"/>
  <c r="F30" i="63"/>
  <c r="G27" i="63"/>
  <c r="G25" i="63"/>
  <c r="F25" i="63"/>
  <c r="C30" i="63"/>
  <c r="C29" i="63"/>
  <c r="C28" i="63"/>
  <c r="C27" i="63"/>
  <c r="C26" i="63"/>
  <c r="C25" i="63"/>
  <c r="K18" i="63"/>
  <c r="K17" i="63"/>
  <c r="K16" i="63"/>
  <c r="K15" i="63"/>
  <c r="K14" i="63"/>
  <c r="K13" i="63"/>
  <c r="G18" i="63"/>
  <c r="G17" i="63"/>
  <c r="G16" i="63"/>
  <c r="G15" i="63"/>
  <c r="G14" i="63"/>
  <c r="G13" i="63"/>
  <c r="C18" i="63"/>
  <c r="B17" i="63"/>
  <c r="C17" i="63" s="1"/>
  <c r="B16" i="63"/>
  <c r="C16" i="63" s="1"/>
  <c r="B15" i="63"/>
  <c r="C15" i="63" s="1"/>
  <c r="C14" i="63"/>
  <c r="C13" i="63"/>
  <c r="B13" i="63"/>
  <c r="C28" i="62"/>
  <c r="C27" i="62"/>
  <c r="C26" i="62"/>
  <c r="C25" i="62"/>
  <c r="C24" i="62"/>
  <c r="C23" i="62"/>
  <c r="K17" i="62"/>
  <c r="K16" i="62"/>
  <c r="K15" i="62"/>
  <c r="K14" i="62"/>
  <c r="K13" i="62"/>
  <c r="K12" i="62"/>
  <c r="G17" i="62"/>
  <c r="G16" i="62"/>
  <c r="G15" i="62"/>
  <c r="G14" i="62"/>
  <c r="G13" i="62"/>
  <c r="G12" i="62"/>
  <c r="B17" i="62"/>
  <c r="C17" i="62" s="1"/>
  <c r="C16" i="62"/>
  <c r="B15" i="62"/>
  <c r="C15" i="62" s="1"/>
  <c r="C14" i="62"/>
  <c r="B14" i="62"/>
  <c r="B13" i="62"/>
  <c r="C13" i="62" s="1"/>
  <c r="C12" i="62"/>
  <c r="A6" i="64"/>
  <c r="A6" i="85"/>
  <c r="A6" i="63"/>
  <c r="A6" i="62"/>
  <c r="A6" i="84"/>
  <c r="A6" i="61"/>
  <c r="G31" i="61"/>
  <c r="G29" i="61"/>
  <c r="F29" i="61"/>
  <c r="G27" i="61"/>
  <c r="C32" i="61"/>
  <c r="C31" i="61"/>
  <c r="C30" i="61"/>
  <c r="C29" i="61"/>
  <c r="C28" i="61"/>
  <c r="C27" i="61"/>
  <c r="C26" i="61"/>
  <c r="C25" i="61"/>
  <c r="K19" i="61"/>
  <c r="K18" i="61"/>
  <c r="K17" i="61"/>
  <c r="K16" i="61"/>
  <c r="K15" i="61"/>
  <c r="K14" i="61"/>
  <c r="K13" i="61"/>
  <c r="K12" i="61"/>
  <c r="G19" i="61"/>
  <c r="G18" i="61"/>
  <c r="G17" i="61"/>
  <c r="G16" i="61"/>
  <c r="G15" i="61"/>
  <c r="G14" i="61"/>
  <c r="G13" i="61"/>
  <c r="G12" i="61"/>
  <c r="C19" i="61"/>
  <c r="B18" i="61"/>
  <c r="C18" i="61" s="1"/>
  <c r="C17" i="61"/>
  <c r="B16" i="61"/>
  <c r="C16" i="61" s="1"/>
  <c r="C15" i="61"/>
  <c r="B14" i="61"/>
  <c r="C14" i="61" s="1"/>
  <c r="B13" i="61"/>
  <c r="C13" i="61" s="1"/>
  <c r="C12" i="61"/>
  <c r="H66" i="83" l="1"/>
  <c r="H67" i="83"/>
  <c r="H68" i="83"/>
  <c r="H69" i="83"/>
  <c r="H70" i="83"/>
  <c r="H71" i="83"/>
  <c r="H72" i="83"/>
  <c r="H73" i="83"/>
  <c r="H74" i="83"/>
  <c r="H65" i="83"/>
  <c r="D41" i="79"/>
  <c r="D42" i="79"/>
  <c r="D43" i="79"/>
  <c r="D40" i="79"/>
  <c r="L32" i="78"/>
  <c r="L33" i="78"/>
  <c r="L34" i="78"/>
  <c r="L31" i="78"/>
  <c r="D39" i="79" l="1"/>
  <c r="L34" i="67"/>
  <c r="L35" i="67"/>
  <c r="L36" i="67"/>
  <c r="L37" i="67"/>
  <c r="L33" i="67"/>
  <c r="L32" i="67" l="1"/>
  <c r="L40" i="70" l="1"/>
  <c r="L41" i="70"/>
  <c r="L42" i="70"/>
  <c r="L44" i="70"/>
  <c r="L45" i="70"/>
  <c r="L46" i="70"/>
  <c r="L39" i="70"/>
  <c r="L32" i="82"/>
  <c r="L33" i="82"/>
  <c r="L31" i="82"/>
  <c r="H48" i="75" l="1"/>
  <c r="H45" i="75"/>
  <c r="H46" i="75"/>
  <c r="H47" i="75"/>
  <c r="I62" i="87" l="1"/>
  <c r="H150" i="85" l="1"/>
  <c r="K76" i="85"/>
  <c r="J76" i="85"/>
  <c r="I76" i="85"/>
  <c r="H76" i="85"/>
  <c r="G76" i="85"/>
  <c r="F76" i="85"/>
  <c r="E76" i="85"/>
  <c r="D76" i="85"/>
  <c r="C76" i="85"/>
  <c r="B76" i="85"/>
  <c r="L35" i="64" l="1"/>
  <c r="L36" i="64"/>
  <c r="L37" i="64"/>
  <c r="L38" i="64"/>
  <c r="L39" i="64"/>
  <c r="L40" i="64"/>
  <c r="L41" i="64"/>
  <c r="J41" i="64"/>
  <c r="H57" i="85"/>
  <c r="I57" i="85"/>
  <c r="G57" i="85"/>
  <c r="F57" i="85"/>
  <c r="H24" i="65"/>
  <c r="AB18" i="90" s="1"/>
  <c r="I24" i="65"/>
  <c r="AC18" i="90" s="1"/>
  <c r="G24" i="65"/>
  <c r="AA18" i="90" s="1"/>
  <c r="F24" i="65"/>
  <c r="Z18" i="90" s="1"/>
  <c r="F27" i="77" l="1"/>
  <c r="Z33" i="90" s="1"/>
  <c r="G27" i="77"/>
  <c r="AA33" i="90" s="1"/>
  <c r="H27" i="77"/>
  <c r="AB33" i="90" s="1"/>
  <c r="I27" i="77"/>
  <c r="AC33" i="90" s="1"/>
  <c r="J27" i="77"/>
  <c r="K27" i="77"/>
  <c r="L27" i="77"/>
  <c r="AH33" i="90" s="1"/>
  <c r="M27" i="77"/>
  <c r="AI33" i="90" s="1"/>
  <c r="M48" i="55" l="1"/>
  <c r="M49" i="55"/>
  <c r="M50" i="55"/>
  <c r="M54" i="55"/>
  <c r="L49" i="55"/>
  <c r="L50" i="55"/>
  <c r="L54" i="55"/>
  <c r="L48" i="55"/>
  <c r="C61" i="55"/>
  <c r="B61" i="55"/>
  <c r="G47" i="55"/>
  <c r="F47" i="55"/>
  <c r="H57" i="71" l="1"/>
  <c r="H56" i="71"/>
  <c r="H55" i="71"/>
  <c r="H54" i="71"/>
  <c r="H53" i="71"/>
  <c r="H50" i="71"/>
  <c r="F57" i="71"/>
  <c r="E49" i="71"/>
  <c r="D49" i="71"/>
  <c r="C49" i="71"/>
  <c r="B49" i="71"/>
  <c r="I119" i="87"/>
  <c r="I120" i="87"/>
  <c r="I121" i="87"/>
  <c r="I122" i="87"/>
  <c r="I123" i="87"/>
  <c r="H120" i="87"/>
  <c r="H121" i="87"/>
  <c r="H122" i="87"/>
  <c r="H123" i="87"/>
  <c r="H119" i="87"/>
  <c r="I124" i="87"/>
  <c r="H124" i="87"/>
  <c r="G124" i="87"/>
  <c r="G118" i="87" s="1"/>
  <c r="F124" i="87"/>
  <c r="F118" i="87" s="1"/>
  <c r="I111" i="87"/>
  <c r="H111" i="87"/>
  <c r="G111" i="87"/>
  <c r="F111" i="87"/>
  <c r="D43" i="75"/>
  <c r="E43" i="75"/>
  <c r="C43" i="75"/>
  <c r="B43" i="75"/>
  <c r="H53" i="61"/>
  <c r="H54" i="61"/>
  <c r="H55" i="61"/>
  <c r="H59" i="61"/>
  <c r="F61" i="61"/>
  <c r="M52" i="55"/>
  <c r="L52" i="55"/>
  <c r="H60" i="61"/>
  <c r="M53" i="55"/>
  <c r="L53" i="55"/>
  <c r="M51" i="55"/>
  <c r="L51" i="55"/>
  <c r="M38" i="61"/>
  <c r="K38" i="61"/>
  <c r="J38" i="61"/>
  <c r="E106" i="88"/>
  <c r="D106" i="88"/>
  <c r="C106" i="88"/>
  <c r="B106" i="88"/>
  <c r="E101" i="88"/>
  <c r="D101" i="88"/>
  <c r="C101" i="88"/>
  <c r="B101" i="88"/>
  <c r="C90" i="88"/>
  <c r="C89" i="88" s="1"/>
  <c r="B90" i="88"/>
  <c r="B89" i="88" s="1"/>
  <c r="H58" i="77"/>
  <c r="H61" i="77"/>
  <c r="H62" i="77"/>
  <c r="H64" i="77"/>
  <c r="H65" i="77"/>
  <c r="H66" i="77"/>
  <c r="E93" i="88"/>
  <c r="E90" i="88" s="1"/>
  <c r="E89" i="88" s="1"/>
  <c r="I53" i="55" s="1"/>
  <c r="I47" i="55" s="1"/>
  <c r="D93" i="88"/>
  <c r="D90" i="88" s="1"/>
  <c r="D89" i="88" s="1"/>
  <c r="H53" i="55" s="1"/>
  <c r="H47" i="55" s="1"/>
  <c r="C57" i="77"/>
  <c r="B57" i="77"/>
  <c r="I76" i="89"/>
  <c r="I91" i="89"/>
  <c r="I90" i="89"/>
  <c r="I89" i="89"/>
  <c r="I88" i="89"/>
  <c r="I87" i="89"/>
  <c r="I86" i="89"/>
  <c r="I85" i="89"/>
  <c r="I84" i="89"/>
  <c r="I83" i="89"/>
  <c r="I82" i="89"/>
  <c r="H81" i="89"/>
  <c r="G81" i="89"/>
  <c r="G75" i="89" s="1"/>
  <c r="F81" i="89"/>
  <c r="H76" i="89"/>
  <c r="H75" i="89" s="1"/>
  <c r="G76" i="89"/>
  <c r="F76" i="89"/>
  <c r="F75" i="89" s="1"/>
  <c r="L59" i="76"/>
  <c r="L61" i="76"/>
  <c r="L64" i="76"/>
  <c r="L62" i="76"/>
  <c r="L66" i="76"/>
  <c r="H58" i="76"/>
  <c r="G58" i="76"/>
  <c r="F58" i="76"/>
  <c r="D83" i="89"/>
  <c r="D85" i="89"/>
  <c r="E85" i="89"/>
  <c r="D86" i="89"/>
  <c r="E86" i="89"/>
  <c r="D87" i="89"/>
  <c r="E87" i="89"/>
  <c r="D90" i="89"/>
  <c r="E90" i="89"/>
  <c r="E82" i="89"/>
  <c r="D82" i="89"/>
  <c r="D91" i="89"/>
  <c r="E89" i="89"/>
  <c r="D89" i="89"/>
  <c r="D88" i="89"/>
  <c r="D84" i="89"/>
  <c r="D64" i="83"/>
  <c r="C64" i="83"/>
  <c r="B64" i="83"/>
  <c r="C81" i="89"/>
  <c r="B81" i="89"/>
  <c r="E76" i="89"/>
  <c r="D76" i="89"/>
  <c r="C76" i="89"/>
  <c r="B76" i="89"/>
  <c r="M32" i="75"/>
  <c r="L32" i="75"/>
  <c r="E119" i="87"/>
  <c r="E120" i="87"/>
  <c r="E121" i="87"/>
  <c r="E122" i="87"/>
  <c r="E123" i="87"/>
  <c r="D120" i="87"/>
  <c r="D121" i="87"/>
  <c r="D122" i="87"/>
  <c r="D123" i="87"/>
  <c r="D119" i="87"/>
  <c r="I87" i="87"/>
  <c r="H44" i="75"/>
  <c r="H87" i="87"/>
  <c r="F32" i="75"/>
  <c r="G32" i="75"/>
  <c r="I32" i="75"/>
  <c r="L60" i="76"/>
  <c r="H67" i="77"/>
  <c r="H59" i="77"/>
  <c r="H60" i="77"/>
  <c r="H63" i="77"/>
  <c r="H52" i="71"/>
  <c r="H51" i="71"/>
  <c r="L43" i="70"/>
  <c r="I118" i="87" l="1"/>
  <c r="B75" i="89"/>
  <c r="C75" i="89"/>
  <c r="D118" i="87"/>
  <c r="G106" i="87"/>
  <c r="I106" i="87"/>
  <c r="F106" i="87"/>
  <c r="L38" i="61"/>
  <c r="H56" i="61"/>
  <c r="H32" i="75"/>
  <c r="E118" i="87"/>
  <c r="I81" i="89"/>
  <c r="I75" i="89" s="1"/>
  <c r="I58" i="76"/>
  <c r="H58" i="61"/>
  <c r="D57" i="77"/>
  <c r="H57" i="61"/>
  <c r="E57" i="77"/>
  <c r="H118" i="87"/>
  <c r="H106" i="87" s="1"/>
  <c r="E88" i="89"/>
  <c r="E84" i="89"/>
  <c r="E64" i="83"/>
  <c r="E91" i="89"/>
  <c r="E83" i="89"/>
  <c r="D81" i="89"/>
  <c r="D75" i="89" s="1"/>
  <c r="D54" i="55" s="1"/>
  <c r="D24" i="61"/>
  <c r="V12" i="90" s="1"/>
  <c r="E81" i="89" l="1"/>
  <c r="E75" i="89" s="1"/>
  <c r="E54" i="55" s="1"/>
  <c r="A6" i="83"/>
  <c r="A6" i="82"/>
  <c r="A6" i="89"/>
  <c r="A6" i="79"/>
  <c r="A6" i="78"/>
  <c r="A6" i="77"/>
  <c r="A6" i="88"/>
  <c r="A6" i="76"/>
  <c r="A6" i="75"/>
  <c r="A6" i="74"/>
  <c r="A6" i="73"/>
  <c r="A6" i="87"/>
  <c r="A6" i="72"/>
  <c r="A6" i="71"/>
  <c r="A6" i="70"/>
  <c r="A6" i="69"/>
  <c r="A6" i="86"/>
  <c r="A6" i="68"/>
  <c r="A6" i="67"/>
  <c r="A6" i="66"/>
  <c r="A6" i="65"/>
  <c r="M69" i="89" l="1"/>
  <c r="L69" i="89"/>
  <c r="M68" i="89"/>
  <c r="L68" i="89"/>
  <c r="M67" i="89"/>
  <c r="L67" i="89"/>
  <c r="M66" i="89"/>
  <c r="L66" i="89"/>
  <c r="M65" i="89"/>
  <c r="L65" i="89"/>
  <c r="M64" i="89"/>
  <c r="L64" i="89"/>
  <c r="M63" i="89"/>
  <c r="L63" i="89"/>
  <c r="M62" i="89"/>
  <c r="L62" i="89"/>
  <c r="M61" i="89"/>
  <c r="L61" i="89"/>
  <c r="M60" i="89"/>
  <c r="L60" i="89"/>
  <c r="I69" i="89"/>
  <c r="H69" i="89"/>
  <c r="I68" i="89"/>
  <c r="H68" i="89"/>
  <c r="I67" i="89"/>
  <c r="H67" i="89"/>
  <c r="I66" i="89"/>
  <c r="H66" i="89"/>
  <c r="I65" i="89"/>
  <c r="H65" i="89"/>
  <c r="I64" i="89"/>
  <c r="H64" i="89"/>
  <c r="I63" i="89"/>
  <c r="H63" i="89"/>
  <c r="I62" i="89"/>
  <c r="H62" i="89"/>
  <c r="I61" i="89"/>
  <c r="H61" i="89"/>
  <c r="I60" i="89"/>
  <c r="H60" i="89"/>
  <c r="E60" i="89"/>
  <c r="E61" i="89"/>
  <c r="E62" i="89"/>
  <c r="E63" i="89"/>
  <c r="E64" i="89"/>
  <c r="E65" i="89"/>
  <c r="E66" i="89"/>
  <c r="E67" i="89"/>
  <c r="E68" i="89"/>
  <c r="E69" i="89"/>
  <c r="D61" i="89"/>
  <c r="D62" i="89"/>
  <c r="D63" i="89"/>
  <c r="D64" i="89"/>
  <c r="D65" i="89"/>
  <c r="D66" i="89"/>
  <c r="D67" i="89"/>
  <c r="D68" i="89"/>
  <c r="D69" i="89"/>
  <c r="D60" i="89"/>
  <c r="I57" i="89"/>
  <c r="H57" i="89"/>
  <c r="I56" i="89"/>
  <c r="H56" i="89"/>
  <c r="I55" i="89"/>
  <c r="H55" i="89"/>
  <c r="D56" i="89"/>
  <c r="E56" i="89"/>
  <c r="D57" i="89"/>
  <c r="E57" i="89"/>
  <c r="D58" i="89"/>
  <c r="E58" i="89"/>
  <c r="E55" i="89"/>
  <c r="D55" i="89"/>
  <c r="F39" i="89"/>
  <c r="G39" i="89"/>
  <c r="H39" i="89"/>
  <c r="I39" i="89"/>
  <c r="J39" i="89"/>
  <c r="K39" i="89"/>
  <c r="L39" i="89"/>
  <c r="M39" i="89"/>
  <c r="F40" i="89"/>
  <c r="G40" i="89"/>
  <c r="H40" i="89"/>
  <c r="I40" i="89"/>
  <c r="J40" i="89"/>
  <c r="K40" i="89"/>
  <c r="L40" i="89"/>
  <c r="M40" i="89"/>
  <c r="F41" i="89"/>
  <c r="G41" i="89"/>
  <c r="H41" i="89"/>
  <c r="I41" i="89"/>
  <c r="J41" i="89"/>
  <c r="K41" i="89"/>
  <c r="L41" i="89"/>
  <c r="M41" i="89"/>
  <c r="F42" i="89"/>
  <c r="G42" i="89"/>
  <c r="H42" i="89"/>
  <c r="I42" i="89"/>
  <c r="J42" i="89"/>
  <c r="K42" i="89"/>
  <c r="L42" i="89"/>
  <c r="M42" i="89"/>
  <c r="F43" i="89"/>
  <c r="G43" i="89"/>
  <c r="H43" i="89"/>
  <c r="I43" i="89"/>
  <c r="J43" i="89"/>
  <c r="K43" i="89"/>
  <c r="L43" i="89"/>
  <c r="M43" i="89"/>
  <c r="F44" i="89"/>
  <c r="G44" i="89"/>
  <c r="H44" i="89"/>
  <c r="I44" i="89"/>
  <c r="J44" i="89"/>
  <c r="K44" i="89"/>
  <c r="L44" i="89"/>
  <c r="M44" i="89"/>
  <c r="F45" i="89"/>
  <c r="G45" i="89"/>
  <c r="H45" i="89"/>
  <c r="I45" i="89"/>
  <c r="J45" i="89"/>
  <c r="K45" i="89"/>
  <c r="L45" i="89"/>
  <c r="M45" i="89"/>
  <c r="F46" i="89"/>
  <c r="G46" i="89"/>
  <c r="H46" i="89"/>
  <c r="I46" i="89"/>
  <c r="J46" i="89"/>
  <c r="K46" i="89"/>
  <c r="L46" i="89"/>
  <c r="M46" i="89"/>
  <c r="F47" i="89"/>
  <c r="G47" i="89"/>
  <c r="H47" i="89"/>
  <c r="I47" i="89"/>
  <c r="J47" i="89"/>
  <c r="K47" i="89"/>
  <c r="L47" i="89"/>
  <c r="M47" i="89"/>
  <c r="F48" i="89"/>
  <c r="G48" i="89"/>
  <c r="H48" i="89"/>
  <c r="I48" i="89"/>
  <c r="J48" i="89"/>
  <c r="K48" i="89"/>
  <c r="L48" i="89"/>
  <c r="M48" i="89"/>
  <c r="D39" i="89"/>
  <c r="E39" i="89"/>
  <c r="D40" i="89"/>
  <c r="E40" i="89"/>
  <c r="D41" i="89"/>
  <c r="E41" i="89"/>
  <c r="D42" i="89"/>
  <c r="E42" i="89"/>
  <c r="D43" i="89"/>
  <c r="E43" i="89"/>
  <c r="D44" i="89"/>
  <c r="E44" i="89"/>
  <c r="D45" i="89"/>
  <c r="E45" i="89"/>
  <c r="D46" i="89"/>
  <c r="E46" i="89"/>
  <c r="D47" i="89"/>
  <c r="E47" i="89"/>
  <c r="D48" i="89"/>
  <c r="E48" i="89"/>
  <c r="B40" i="89"/>
  <c r="C40" i="89"/>
  <c r="B41" i="89"/>
  <c r="C41" i="89"/>
  <c r="B42" i="89"/>
  <c r="C42" i="89"/>
  <c r="B43" i="89"/>
  <c r="C43" i="89"/>
  <c r="B44" i="89"/>
  <c r="C44" i="89"/>
  <c r="B45" i="89"/>
  <c r="C45" i="89"/>
  <c r="B46" i="89"/>
  <c r="C46" i="89"/>
  <c r="B47" i="89"/>
  <c r="C47" i="89"/>
  <c r="B48" i="89"/>
  <c r="C48" i="89"/>
  <c r="C39" i="89"/>
  <c r="B39" i="89"/>
  <c r="F34" i="89"/>
  <c r="G34" i="89"/>
  <c r="H34" i="89"/>
  <c r="I34" i="89"/>
  <c r="J34" i="89"/>
  <c r="K34" i="89"/>
  <c r="L34" i="89"/>
  <c r="M34" i="89"/>
  <c r="F35" i="89"/>
  <c r="G35" i="89"/>
  <c r="H35" i="89"/>
  <c r="I35" i="89"/>
  <c r="J35" i="89"/>
  <c r="K35" i="89"/>
  <c r="L35" i="89"/>
  <c r="M35" i="89"/>
  <c r="F36" i="89"/>
  <c r="G36" i="89"/>
  <c r="H36" i="89"/>
  <c r="I36" i="89"/>
  <c r="J36" i="89"/>
  <c r="K36" i="89"/>
  <c r="L36" i="89"/>
  <c r="M36" i="89"/>
  <c r="F37" i="89"/>
  <c r="G37" i="89"/>
  <c r="H37" i="89"/>
  <c r="I37" i="89"/>
  <c r="J37" i="89"/>
  <c r="K37" i="89"/>
  <c r="L37" i="89"/>
  <c r="M37" i="89"/>
  <c r="D34" i="89"/>
  <c r="E34" i="89"/>
  <c r="D35" i="89"/>
  <c r="E35" i="89"/>
  <c r="D36" i="89"/>
  <c r="E36" i="89"/>
  <c r="D37" i="89"/>
  <c r="E37" i="89"/>
  <c r="B35" i="89"/>
  <c r="B36" i="89"/>
  <c r="B37" i="89"/>
  <c r="B34" i="89"/>
  <c r="F18" i="89"/>
  <c r="H18" i="89"/>
  <c r="I18" i="89"/>
  <c r="J18" i="89"/>
  <c r="K18" i="89"/>
  <c r="L18" i="89"/>
  <c r="M18" i="89"/>
  <c r="F19" i="89"/>
  <c r="H19" i="89"/>
  <c r="I19" i="89"/>
  <c r="J19" i="89"/>
  <c r="K19" i="89"/>
  <c r="L19" i="89"/>
  <c r="M19" i="89"/>
  <c r="F20" i="89"/>
  <c r="H20" i="89"/>
  <c r="I20" i="89"/>
  <c r="J20" i="89"/>
  <c r="K20" i="89"/>
  <c r="L20" i="89"/>
  <c r="M20" i="89"/>
  <c r="F21" i="89"/>
  <c r="H21" i="89"/>
  <c r="I21" i="89"/>
  <c r="J21" i="89"/>
  <c r="K21" i="89"/>
  <c r="L21" i="89"/>
  <c r="M21" i="89"/>
  <c r="F22" i="89"/>
  <c r="H22" i="89"/>
  <c r="I22" i="89"/>
  <c r="J22" i="89"/>
  <c r="K22" i="89"/>
  <c r="L22" i="89"/>
  <c r="M22" i="89"/>
  <c r="F23" i="89"/>
  <c r="H23" i="89"/>
  <c r="I23" i="89"/>
  <c r="J23" i="89"/>
  <c r="K23" i="89"/>
  <c r="L23" i="89"/>
  <c r="M23" i="89"/>
  <c r="F24" i="89"/>
  <c r="H24" i="89"/>
  <c r="I24" i="89"/>
  <c r="J24" i="89"/>
  <c r="K24" i="89"/>
  <c r="L24" i="89"/>
  <c r="M24" i="89"/>
  <c r="F25" i="89"/>
  <c r="H25" i="89"/>
  <c r="I25" i="89"/>
  <c r="J25" i="89"/>
  <c r="K25" i="89"/>
  <c r="L25" i="89"/>
  <c r="M25" i="89"/>
  <c r="F26" i="89"/>
  <c r="H26" i="89"/>
  <c r="I26" i="89"/>
  <c r="J26" i="89"/>
  <c r="K26" i="89"/>
  <c r="L26" i="89"/>
  <c r="M26" i="89"/>
  <c r="F27" i="89"/>
  <c r="H27" i="89"/>
  <c r="I27" i="89"/>
  <c r="J27" i="89"/>
  <c r="K27" i="89"/>
  <c r="L27" i="89"/>
  <c r="M27" i="89"/>
  <c r="D18" i="89"/>
  <c r="E18" i="89"/>
  <c r="D19" i="89"/>
  <c r="E19" i="89"/>
  <c r="D20" i="89"/>
  <c r="E20" i="89"/>
  <c r="D21" i="89"/>
  <c r="E21" i="89"/>
  <c r="D22" i="89"/>
  <c r="E22" i="89"/>
  <c r="D23" i="89"/>
  <c r="E23" i="89"/>
  <c r="D24" i="89"/>
  <c r="E24" i="89"/>
  <c r="D25" i="89"/>
  <c r="E25" i="89"/>
  <c r="D26" i="89"/>
  <c r="E26" i="89"/>
  <c r="D27" i="89"/>
  <c r="E27" i="89"/>
  <c r="B19" i="89"/>
  <c r="B20" i="89"/>
  <c r="B21" i="89"/>
  <c r="B22" i="89"/>
  <c r="B23" i="89"/>
  <c r="B24" i="89"/>
  <c r="B25" i="89"/>
  <c r="B26" i="89"/>
  <c r="B27" i="89"/>
  <c r="B18" i="89"/>
  <c r="F13" i="89"/>
  <c r="J13" i="89"/>
  <c r="K13" i="89"/>
  <c r="L13" i="89"/>
  <c r="M13" i="89"/>
  <c r="F14" i="89"/>
  <c r="J14" i="89"/>
  <c r="K14" i="89"/>
  <c r="L14" i="89"/>
  <c r="M14" i="89"/>
  <c r="F15" i="89"/>
  <c r="J15" i="89"/>
  <c r="K15" i="89"/>
  <c r="L15" i="89"/>
  <c r="M15" i="89"/>
  <c r="F16" i="89"/>
  <c r="J16" i="89"/>
  <c r="K16" i="89"/>
  <c r="L16" i="89"/>
  <c r="M16" i="89"/>
  <c r="D13" i="89"/>
  <c r="E13" i="89"/>
  <c r="D14" i="89"/>
  <c r="E14" i="89"/>
  <c r="D15" i="89"/>
  <c r="E15" i="89"/>
  <c r="D16" i="89"/>
  <c r="E16" i="89"/>
  <c r="B14" i="89"/>
  <c r="B15" i="89"/>
  <c r="B16" i="89"/>
  <c r="B13" i="89"/>
  <c r="M84" i="88"/>
  <c r="L84" i="88"/>
  <c r="M83" i="88"/>
  <c r="L83" i="88"/>
  <c r="M82" i="88"/>
  <c r="L82" i="88"/>
  <c r="M81" i="88"/>
  <c r="L81" i="88"/>
  <c r="I84" i="88"/>
  <c r="H84" i="88"/>
  <c r="I83" i="88"/>
  <c r="H83" i="88"/>
  <c r="I82" i="88"/>
  <c r="H82" i="88"/>
  <c r="I81" i="88"/>
  <c r="H81" i="88"/>
  <c r="D82" i="88"/>
  <c r="E82" i="88"/>
  <c r="D83" i="88"/>
  <c r="E83" i="88"/>
  <c r="D84" i="88"/>
  <c r="E84" i="88"/>
  <c r="E81" i="88"/>
  <c r="D81" i="88"/>
  <c r="M58" i="88"/>
  <c r="L58" i="88"/>
  <c r="M57" i="88"/>
  <c r="L57" i="88"/>
  <c r="M56" i="88"/>
  <c r="L56" i="88"/>
  <c r="M55" i="88"/>
  <c r="L55" i="88"/>
  <c r="I58" i="88"/>
  <c r="H58" i="88"/>
  <c r="I57" i="88"/>
  <c r="H57" i="88"/>
  <c r="I56" i="88"/>
  <c r="H56" i="88"/>
  <c r="I55" i="88"/>
  <c r="H55" i="88"/>
  <c r="G58" i="88"/>
  <c r="F58" i="88"/>
  <c r="G57" i="88"/>
  <c r="F57" i="88"/>
  <c r="G56" i="88"/>
  <c r="F56" i="88"/>
  <c r="G55" i="88"/>
  <c r="F55" i="88"/>
  <c r="E58" i="88"/>
  <c r="D58" i="88"/>
  <c r="E57" i="88"/>
  <c r="D57" i="88"/>
  <c r="E56" i="88"/>
  <c r="D56" i="88"/>
  <c r="E55" i="88"/>
  <c r="D55" i="88"/>
  <c r="B56" i="88"/>
  <c r="B57" i="88"/>
  <c r="B58" i="88"/>
  <c r="B55" i="88"/>
  <c r="M32" i="88"/>
  <c r="L32" i="88"/>
  <c r="K32" i="88"/>
  <c r="J32" i="88"/>
  <c r="M31" i="88"/>
  <c r="L31" i="88"/>
  <c r="K31" i="88"/>
  <c r="J31" i="88"/>
  <c r="M30" i="88"/>
  <c r="L30" i="88"/>
  <c r="K30" i="88"/>
  <c r="J30" i="88"/>
  <c r="M29" i="88"/>
  <c r="L29" i="88"/>
  <c r="K29" i="88"/>
  <c r="J29" i="88"/>
  <c r="I32" i="88"/>
  <c r="H32" i="88"/>
  <c r="F32" i="88"/>
  <c r="I31" i="88"/>
  <c r="H31" i="88"/>
  <c r="F31" i="88"/>
  <c r="I30" i="88"/>
  <c r="H30" i="88"/>
  <c r="F30" i="88"/>
  <c r="I29" i="88"/>
  <c r="H29" i="88"/>
  <c r="F29" i="88"/>
  <c r="D29" i="88"/>
  <c r="E29" i="88"/>
  <c r="D30" i="88"/>
  <c r="E30" i="88"/>
  <c r="D31" i="88"/>
  <c r="E31" i="88"/>
  <c r="D32" i="88"/>
  <c r="E32" i="88"/>
  <c r="B30" i="88"/>
  <c r="B31" i="88"/>
  <c r="B32" i="88"/>
  <c r="B29" i="88"/>
  <c r="H77" i="88"/>
  <c r="I77" i="88"/>
  <c r="H78" i="88"/>
  <c r="I78" i="88"/>
  <c r="H79" i="88"/>
  <c r="I79" i="88"/>
  <c r="I76" i="88"/>
  <c r="H76" i="88"/>
  <c r="D77" i="88"/>
  <c r="E77" i="88"/>
  <c r="D78" i="88"/>
  <c r="E78" i="88"/>
  <c r="D79" i="88"/>
  <c r="E79" i="88"/>
  <c r="E76" i="88"/>
  <c r="D76" i="88"/>
  <c r="L50" i="88"/>
  <c r="M50" i="88"/>
  <c r="L51" i="88"/>
  <c r="M51" i="88"/>
  <c r="L52" i="88"/>
  <c r="M52" i="88"/>
  <c r="L53" i="88"/>
  <c r="M53" i="88"/>
  <c r="H50" i="88"/>
  <c r="I50" i="88"/>
  <c r="H51" i="88"/>
  <c r="I51" i="88"/>
  <c r="H52" i="88"/>
  <c r="I52" i="88"/>
  <c r="H53" i="88"/>
  <c r="I53" i="88"/>
  <c r="F50" i="88"/>
  <c r="G50" i="88"/>
  <c r="F51" i="88"/>
  <c r="G51" i="88"/>
  <c r="F52" i="88"/>
  <c r="G52" i="88"/>
  <c r="F53" i="88"/>
  <c r="G53" i="88"/>
  <c r="D50" i="88"/>
  <c r="E50" i="88"/>
  <c r="D51" i="88"/>
  <c r="E51" i="88"/>
  <c r="D52" i="88"/>
  <c r="E52" i="88"/>
  <c r="D53" i="88"/>
  <c r="E53" i="88"/>
  <c r="B51" i="88"/>
  <c r="B52" i="88"/>
  <c r="B53" i="88"/>
  <c r="B50" i="88"/>
  <c r="M27" i="88"/>
  <c r="L27" i="88"/>
  <c r="M26" i="88"/>
  <c r="L26" i="88"/>
  <c r="M25" i="88"/>
  <c r="L25" i="88"/>
  <c r="M24" i="88"/>
  <c r="L24" i="88"/>
  <c r="K27" i="88"/>
  <c r="J27" i="88"/>
  <c r="K26" i="88"/>
  <c r="J26" i="88"/>
  <c r="K25" i="88"/>
  <c r="J25" i="88"/>
  <c r="K24" i="88"/>
  <c r="J24" i="88"/>
  <c r="I27" i="88"/>
  <c r="H27" i="88"/>
  <c r="I26" i="88"/>
  <c r="H26" i="88"/>
  <c r="I25" i="88"/>
  <c r="H25" i="88"/>
  <c r="H24" i="88"/>
  <c r="F27" i="88"/>
  <c r="F26" i="88"/>
  <c r="F25" i="88"/>
  <c r="F24" i="88"/>
  <c r="D24" i="88"/>
  <c r="E24" i="88"/>
  <c r="D25" i="88"/>
  <c r="E25" i="88"/>
  <c r="D26" i="88"/>
  <c r="E26" i="88"/>
  <c r="D27" i="88"/>
  <c r="E27" i="88"/>
  <c r="B25" i="88"/>
  <c r="B26" i="88"/>
  <c r="B27" i="88"/>
  <c r="B24" i="88"/>
  <c r="L66" i="88"/>
  <c r="M66" i="88"/>
  <c r="L67" i="88"/>
  <c r="M67" i="88"/>
  <c r="L68" i="88"/>
  <c r="M68" i="88"/>
  <c r="L69" i="88"/>
  <c r="M69" i="88"/>
  <c r="L70" i="88"/>
  <c r="M70" i="88"/>
  <c r="L71" i="88"/>
  <c r="M71" i="88"/>
  <c r="L72" i="88"/>
  <c r="M72" i="88"/>
  <c r="L73" i="88"/>
  <c r="M73" i="88"/>
  <c r="L74" i="88"/>
  <c r="M74" i="88"/>
  <c r="M65" i="88"/>
  <c r="L65" i="88"/>
  <c r="I66" i="88"/>
  <c r="I67" i="88"/>
  <c r="I68" i="88"/>
  <c r="I69" i="88"/>
  <c r="I70" i="88"/>
  <c r="I71" i="88"/>
  <c r="I72" i="88"/>
  <c r="I73" i="88"/>
  <c r="I74" i="88"/>
  <c r="I65" i="88"/>
  <c r="H66" i="88"/>
  <c r="H67" i="88"/>
  <c r="H68" i="88"/>
  <c r="H69" i="88"/>
  <c r="H70" i="88"/>
  <c r="H71" i="88"/>
  <c r="H72" i="88"/>
  <c r="H73" i="88"/>
  <c r="H74" i="88"/>
  <c r="H65" i="88"/>
  <c r="E66" i="88"/>
  <c r="E67" i="88"/>
  <c r="E68" i="88"/>
  <c r="E69" i="88"/>
  <c r="E70" i="88"/>
  <c r="E71" i="88"/>
  <c r="E72" i="88"/>
  <c r="E73" i="88"/>
  <c r="E74" i="88"/>
  <c r="E65" i="88"/>
  <c r="D66" i="88"/>
  <c r="D67" i="88"/>
  <c r="D68" i="88"/>
  <c r="D69" i="88"/>
  <c r="D70" i="88"/>
  <c r="D71" i="88"/>
  <c r="D72" i="88"/>
  <c r="D73" i="88"/>
  <c r="D74" i="88"/>
  <c r="D65" i="88"/>
  <c r="L40" i="88"/>
  <c r="M40" i="88"/>
  <c r="L41" i="88"/>
  <c r="M41" i="88"/>
  <c r="L42" i="88"/>
  <c r="M42" i="88"/>
  <c r="L43" i="88"/>
  <c r="M43" i="88"/>
  <c r="L44" i="88"/>
  <c r="M44" i="88"/>
  <c r="L45" i="88"/>
  <c r="M45" i="88"/>
  <c r="L46" i="88"/>
  <c r="M46" i="88"/>
  <c r="L47" i="88"/>
  <c r="M47" i="88"/>
  <c r="L48" i="88"/>
  <c r="M48" i="88"/>
  <c r="M39" i="88"/>
  <c r="L39" i="88"/>
  <c r="H39" i="88"/>
  <c r="I39" i="88"/>
  <c r="H40" i="88"/>
  <c r="I40" i="88"/>
  <c r="H41" i="88"/>
  <c r="I41" i="88"/>
  <c r="H42" i="88"/>
  <c r="I42" i="88"/>
  <c r="H43" i="88"/>
  <c r="I43" i="88"/>
  <c r="H44" i="88"/>
  <c r="I44" i="88"/>
  <c r="H45" i="88"/>
  <c r="I45" i="88"/>
  <c r="H46" i="88"/>
  <c r="I46" i="88"/>
  <c r="H47" i="88"/>
  <c r="I47" i="88"/>
  <c r="H48" i="88"/>
  <c r="I48" i="88"/>
  <c r="F40" i="88"/>
  <c r="F41" i="88"/>
  <c r="F42" i="88"/>
  <c r="F43" i="88"/>
  <c r="G43" i="88"/>
  <c r="F44" i="88"/>
  <c r="G44" i="88"/>
  <c r="F45" i="88"/>
  <c r="G45" i="88"/>
  <c r="F46" i="88"/>
  <c r="G46" i="88"/>
  <c r="F47" i="88"/>
  <c r="G47" i="88"/>
  <c r="F48" i="88"/>
  <c r="G48" i="88"/>
  <c r="F39" i="88"/>
  <c r="D39" i="88"/>
  <c r="E39" i="88"/>
  <c r="D40" i="88"/>
  <c r="E40" i="88"/>
  <c r="D41" i="88"/>
  <c r="E41" i="88"/>
  <c r="D42" i="88"/>
  <c r="E42" i="88"/>
  <c r="D43" i="88"/>
  <c r="E43" i="88"/>
  <c r="D44" i="88"/>
  <c r="E44" i="88"/>
  <c r="D45" i="88"/>
  <c r="E45" i="88"/>
  <c r="D46" i="88"/>
  <c r="E46" i="88"/>
  <c r="D47" i="88"/>
  <c r="E47" i="88"/>
  <c r="D48" i="88"/>
  <c r="E48" i="88"/>
  <c r="B40" i="88"/>
  <c r="B41" i="88"/>
  <c r="B42" i="88"/>
  <c r="B43" i="88"/>
  <c r="B44" i="88"/>
  <c r="B45" i="88"/>
  <c r="B46" i="88"/>
  <c r="B47" i="88"/>
  <c r="B48" i="88"/>
  <c r="B39" i="88"/>
  <c r="L13" i="88"/>
  <c r="M13" i="88"/>
  <c r="L14" i="88"/>
  <c r="M14" i="88"/>
  <c r="L15" i="88"/>
  <c r="M15" i="88"/>
  <c r="L16" i="88"/>
  <c r="M16" i="88"/>
  <c r="L17" i="88"/>
  <c r="M17" i="88"/>
  <c r="L18" i="88"/>
  <c r="M18" i="88"/>
  <c r="L19" i="88"/>
  <c r="M19" i="88"/>
  <c r="L20" i="88"/>
  <c r="M20" i="88"/>
  <c r="L21" i="88"/>
  <c r="M21" i="88"/>
  <c r="L22" i="88"/>
  <c r="M22" i="88"/>
  <c r="J14" i="88"/>
  <c r="K14" i="88"/>
  <c r="J15" i="88"/>
  <c r="K15" i="88"/>
  <c r="J16" i="88"/>
  <c r="K16" i="88"/>
  <c r="J17" i="88"/>
  <c r="K17" i="88"/>
  <c r="J18" i="88"/>
  <c r="K18" i="88"/>
  <c r="J19" i="88"/>
  <c r="K19" i="88"/>
  <c r="J20" i="88"/>
  <c r="K20" i="88"/>
  <c r="J21" i="88"/>
  <c r="K21" i="88"/>
  <c r="J22" i="88"/>
  <c r="K22" i="88"/>
  <c r="K13" i="88"/>
  <c r="J13" i="88"/>
  <c r="I22" i="88"/>
  <c r="H22" i="88"/>
  <c r="I21" i="88"/>
  <c r="H21" i="88"/>
  <c r="I20" i="88"/>
  <c r="H20" i="88"/>
  <c r="I19" i="88"/>
  <c r="H19" i="88"/>
  <c r="I18" i="88"/>
  <c r="H18" i="88"/>
  <c r="I17" i="88"/>
  <c r="H17" i="88"/>
  <c r="I16" i="88"/>
  <c r="H16" i="88"/>
  <c r="I15" i="88"/>
  <c r="H15" i="88"/>
  <c r="I14" i="88"/>
  <c r="H14" i="88"/>
  <c r="I13" i="88"/>
  <c r="H13" i="88"/>
  <c r="F14" i="88"/>
  <c r="F15" i="88"/>
  <c r="F16" i="88"/>
  <c r="F17" i="88"/>
  <c r="F18" i="88"/>
  <c r="F19" i="88"/>
  <c r="F20" i="88"/>
  <c r="F21" i="88"/>
  <c r="F22" i="88"/>
  <c r="F13" i="88"/>
  <c r="D13" i="88"/>
  <c r="E13" i="88"/>
  <c r="D14" i="88"/>
  <c r="E14" i="88"/>
  <c r="D15" i="88"/>
  <c r="E15" i="88"/>
  <c r="D16" i="88"/>
  <c r="E16" i="88"/>
  <c r="D17" i="88"/>
  <c r="E17" i="88"/>
  <c r="D18" i="88"/>
  <c r="E18" i="88"/>
  <c r="D19" i="88"/>
  <c r="E19" i="88"/>
  <c r="D20" i="88"/>
  <c r="E20" i="88"/>
  <c r="D21" i="88"/>
  <c r="E21" i="88"/>
  <c r="D22" i="88"/>
  <c r="E22" i="88"/>
  <c r="B14" i="88"/>
  <c r="B15" i="88"/>
  <c r="B16" i="88"/>
  <c r="B17" i="88"/>
  <c r="B18" i="88"/>
  <c r="B19" i="88"/>
  <c r="B20" i="88"/>
  <c r="B21" i="88"/>
  <c r="B22" i="88"/>
  <c r="B13" i="88"/>
  <c r="L88" i="89" l="1"/>
  <c r="L90" i="89"/>
  <c r="L86" i="89"/>
  <c r="L82" i="89"/>
  <c r="L79" i="89"/>
  <c r="H23" i="88"/>
  <c r="L77" i="89"/>
  <c r="L91" i="89"/>
  <c r="L89" i="89"/>
  <c r="L87" i="89"/>
  <c r="L83" i="89"/>
  <c r="H107" i="88"/>
  <c r="L78" i="89"/>
  <c r="H108" i="88"/>
  <c r="H109" i="88"/>
  <c r="H104" i="88"/>
  <c r="H103" i="88"/>
  <c r="H105" i="88"/>
  <c r="H99" i="88"/>
  <c r="H97" i="88"/>
  <c r="H93" i="88"/>
  <c r="H91" i="88"/>
  <c r="H100" i="88"/>
  <c r="H98" i="88"/>
  <c r="H96" i="88"/>
  <c r="H94" i="88"/>
  <c r="H92" i="88"/>
  <c r="L84" i="89"/>
  <c r="H95" i="88"/>
  <c r="H110" i="88"/>
  <c r="L85" i="89"/>
  <c r="D126" i="87"/>
  <c r="E126" i="87"/>
  <c r="D127" i="87"/>
  <c r="E127" i="87"/>
  <c r="D128" i="87"/>
  <c r="E128" i="87"/>
  <c r="D129" i="87"/>
  <c r="E129" i="87"/>
  <c r="D130" i="87"/>
  <c r="E130" i="87"/>
  <c r="D131" i="87"/>
  <c r="E131" i="87"/>
  <c r="D132" i="87"/>
  <c r="E132" i="87"/>
  <c r="E125" i="87"/>
  <c r="D125" i="87"/>
  <c r="L94" i="87"/>
  <c r="M94" i="87"/>
  <c r="L95" i="87"/>
  <c r="M95" i="87"/>
  <c r="L96" i="87"/>
  <c r="M96" i="87"/>
  <c r="L97" i="87"/>
  <c r="M97" i="87"/>
  <c r="L98" i="87"/>
  <c r="M98" i="87"/>
  <c r="L99" i="87"/>
  <c r="M99" i="87"/>
  <c r="L100" i="87"/>
  <c r="M100" i="87"/>
  <c r="M93" i="87"/>
  <c r="L93" i="87"/>
  <c r="H94" i="87"/>
  <c r="I94" i="87"/>
  <c r="H95" i="87"/>
  <c r="I95" i="87"/>
  <c r="H96" i="87"/>
  <c r="I96" i="87"/>
  <c r="H97" i="87"/>
  <c r="I97" i="87"/>
  <c r="H98" i="87"/>
  <c r="I98" i="87"/>
  <c r="H99" i="87"/>
  <c r="I99" i="87"/>
  <c r="H100" i="87"/>
  <c r="I100" i="87"/>
  <c r="I93" i="87"/>
  <c r="H93" i="87"/>
  <c r="D94" i="87"/>
  <c r="E94" i="87"/>
  <c r="D95" i="87"/>
  <c r="E95" i="87"/>
  <c r="D96" i="87"/>
  <c r="E96" i="87"/>
  <c r="D97" i="87"/>
  <c r="E97" i="87"/>
  <c r="D98" i="87"/>
  <c r="E98" i="87"/>
  <c r="D99" i="87"/>
  <c r="E99" i="87"/>
  <c r="D100" i="87"/>
  <c r="E100" i="87"/>
  <c r="E93" i="87"/>
  <c r="D93" i="87"/>
  <c r="L63" i="87"/>
  <c r="M63" i="87"/>
  <c r="L64" i="87"/>
  <c r="M64" i="87"/>
  <c r="L65" i="87"/>
  <c r="M65" i="87"/>
  <c r="L66" i="87"/>
  <c r="M66" i="87"/>
  <c r="L67" i="87"/>
  <c r="M67" i="87"/>
  <c r="L68" i="87"/>
  <c r="M68" i="87"/>
  <c r="L69" i="87"/>
  <c r="M69" i="87"/>
  <c r="M62" i="87"/>
  <c r="L62" i="87"/>
  <c r="H62" i="87"/>
  <c r="H63" i="87"/>
  <c r="I63" i="87"/>
  <c r="H64" i="87"/>
  <c r="I64" i="87"/>
  <c r="H65" i="87"/>
  <c r="I65" i="87"/>
  <c r="H66" i="87"/>
  <c r="I66" i="87"/>
  <c r="H67" i="87"/>
  <c r="I67" i="87"/>
  <c r="H68" i="87"/>
  <c r="I68" i="87"/>
  <c r="H69" i="87"/>
  <c r="I69" i="87"/>
  <c r="G63" i="87"/>
  <c r="G64" i="87"/>
  <c r="G65" i="87"/>
  <c r="G66" i="87"/>
  <c r="G67" i="87"/>
  <c r="G68" i="87"/>
  <c r="G69" i="87"/>
  <c r="G62" i="87"/>
  <c r="F63" i="87"/>
  <c r="F64" i="87"/>
  <c r="F65" i="87"/>
  <c r="F66" i="87"/>
  <c r="F67" i="87"/>
  <c r="F68" i="87"/>
  <c r="F69" i="87"/>
  <c r="F62" i="87"/>
  <c r="D62" i="87"/>
  <c r="E62" i="87"/>
  <c r="D63" i="87"/>
  <c r="E63" i="87"/>
  <c r="D64" i="87"/>
  <c r="E64" i="87"/>
  <c r="D65" i="87"/>
  <c r="E65" i="87"/>
  <c r="D66" i="87"/>
  <c r="E66" i="87"/>
  <c r="D67" i="87"/>
  <c r="E67" i="87"/>
  <c r="D68" i="87"/>
  <c r="E68" i="87"/>
  <c r="D69" i="87"/>
  <c r="E69" i="87"/>
  <c r="B63" i="87"/>
  <c r="B64" i="87"/>
  <c r="B65" i="87"/>
  <c r="B66" i="87"/>
  <c r="B67" i="87"/>
  <c r="B68" i="87"/>
  <c r="B69" i="87"/>
  <c r="B62" i="87"/>
  <c r="L31" i="87"/>
  <c r="M31" i="87"/>
  <c r="L32" i="87"/>
  <c r="M32" i="87"/>
  <c r="L33" i="87"/>
  <c r="M33" i="87"/>
  <c r="L34" i="87"/>
  <c r="M34" i="87"/>
  <c r="L35" i="87"/>
  <c r="L36" i="87"/>
  <c r="M36" i="87"/>
  <c r="L37" i="87"/>
  <c r="M37" i="87"/>
  <c r="L38" i="87"/>
  <c r="M38" i="87"/>
  <c r="J32" i="87"/>
  <c r="K32" i="87"/>
  <c r="J33" i="87"/>
  <c r="K33" i="87"/>
  <c r="J34" i="87"/>
  <c r="K34" i="87"/>
  <c r="J35" i="87"/>
  <c r="K35" i="87"/>
  <c r="J36" i="87"/>
  <c r="K36" i="87"/>
  <c r="J37" i="87"/>
  <c r="K37" i="87"/>
  <c r="J38" i="87"/>
  <c r="K38" i="87"/>
  <c r="K31" i="87"/>
  <c r="J31" i="87"/>
  <c r="H31" i="87"/>
  <c r="I31" i="87"/>
  <c r="H32" i="87"/>
  <c r="I32" i="87"/>
  <c r="H33" i="87"/>
  <c r="I33" i="87"/>
  <c r="H34" i="87"/>
  <c r="I34" i="87"/>
  <c r="H35" i="87"/>
  <c r="I35" i="87"/>
  <c r="H36" i="87"/>
  <c r="I36" i="87"/>
  <c r="H38" i="87"/>
  <c r="I38" i="87"/>
  <c r="F32" i="87"/>
  <c r="F33" i="87"/>
  <c r="F34" i="87"/>
  <c r="F35" i="87"/>
  <c r="F36" i="87"/>
  <c r="F37" i="87"/>
  <c r="F38" i="87"/>
  <c r="F31" i="87"/>
  <c r="D31" i="87"/>
  <c r="E31" i="87"/>
  <c r="D32" i="87"/>
  <c r="E32" i="87"/>
  <c r="D33" i="87"/>
  <c r="E33" i="87"/>
  <c r="D34" i="87"/>
  <c r="E34" i="87"/>
  <c r="D35" i="87"/>
  <c r="E35" i="87"/>
  <c r="D36" i="87"/>
  <c r="E36" i="87"/>
  <c r="D37" i="87"/>
  <c r="E37" i="87"/>
  <c r="D38" i="87"/>
  <c r="E38" i="87"/>
  <c r="B32" i="87"/>
  <c r="B33" i="87"/>
  <c r="B34" i="87"/>
  <c r="B35" i="87"/>
  <c r="B36" i="87"/>
  <c r="B37" i="87"/>
  <c r="B38" i="87"/>
  <c r="B31" i="87"/>
  <c r="E117" i="87"/>
  <c r="D117" i="87"/>
  <c r="D88" i="87"/>
  <c r="E88" i="87"/>
  <c r="D89" i="87"/>
  <c r="E89" i="87"/>
  <c r="D90" i="87"/>
  <c r="E90" i="87"/>
  <c r="D91" i="87"/>
  <c r="E91" i="87"/>
  <c r="E87" i="87"/>
  <c r="D87" i="87"/>
  <c r="L57" i="87"/>
  <c r="M57" i="87"/>
  <c r="L58" i="87"/>
  <c r="M58" i="87"/>
  <c r="L59" i="87"/>
  <c r="M59" i="87"/>
  <c r="L60" i="87"/>
  <c r="M60" i="87"/>
  <c r="M56" i="87"/>
  <c r="L56" i="87"/>
  <c r="H56" i="87"/>
  <c r="I56" i="87"/>
  <c r="H57" i="87"/>
  <c r="I57" i="87"/>
  <c r="H58" i="87"/>
  <c r="I58" i="87"/>
  <c r="H59" i="87"/>
  <c r="I59" i="87"/>
  <c r="H60" i="87"/>
  <c r="I60" i="87"/>
  <c r="F57" i="87"/>
  <c r="G57" i="87"/>
  <c r="F58" i="87"/>
  <c r="G58" i="87"/>
  <c r="F59" i="87"/>
  <c r="G59" i="87"/>
  <c r="F60" i="87"/>
  <c r="G60" i="87"/>
  <c r="G56" i="87"/>
  <c r="F56" i="87"/>
  <c r="D56" i="87"/>
  <c r="E56" i="87"/>
  <c r="D57" i="87"/>
  <c r="E57" i="87"/>
  <c r="D58" i="87"/>
  <c r="E58" i="87"/>
  <c r="D59" i="87"/>
  <c r="E59" i="87"/>
  <c r="D60" i="87"/>
  <c r="E60" i="87"/>
  <c r="B57" i="87"/>
  <c r="B58" i="87"/>
  <c r="B59" i="87"/>
  <c r="B60" i="87"/>
  <c r="B56" i="87"/>
  <c r="L25" i="87"/>
  <c r="M25" i="87"/>
  <c r="L26" i="87"/>
  <c r="M26" i="87"/>
  <c r="L27" i="87"/>
  <c r="M27" i="87"/>
  <c r="L28" i="87"/>
  <c r="M28" i="87"/>
  <c r="L29" i="87"/>
  <c r="M29" i="87"/>
  <c r="J26" i="87"/>
  <c r="K26" i="87"/>
  <c r="J27" i="87"/>
  <c r="K27" i="87"/>
  <c r="J28" i="87"/>
  <c r="K28" i="87"/>
  <c r="J29" i="87"/>
  <c r="K29" i="87"/>
  <c r="K25" i="87"/>
  <c r="J25" i="87"/>
  <c r="H25" i="87"/>
  <c r="I25" i="87"/>
  <c r="H26" i="87"/>
  <c r="I26" i="87"/>
  <c r="H27" i="87"/>
  <c r="I27" i="87"/>
  <c r="H28" i="87"/>
  <c r="I28" i="87"/>
  <c r="H29" i="87"/>
  <c r="I29" i="87"/>
  <c r="F26" i="87"/>
  <c r="F27" i="87"/>
  <c r="F28" i="87"/>
  <c r="F29" i="87"/>
  <c r="F25" i="87"/>
  <c r="D25" i="87"/>
  <c r="E25" i="87"/>
  <c r="D26" i="87"/>
  <c r="E26" i="87"/>
  <c r="D27" i="87"/>
  <c r="E27" i="87"/>
  <c r="D28" i="87"/>
  <c r="E28" i="87"/>
  <c r="D29" i="87"/>
  <c r="E29" i="87"/>
  <c r="B26" i="87"/>
  <c r="B27" i="87"/>
  <c r="B28" i="87"/>
  <c r="B29" i="87"/>
  <c r="B25" i="87"/>
  <c r="L125" i="87" l="1"/>
  <c r="L81" i="89"/>
  <c r="L119" i="87"/>
  <c r="L127" i="87"/>
  <c r="L132" i="87"/>
  <c r="L126" i="87"/>
  <c r="L130" i="87"/>
  <c r="L128" i="87"/>
  <c r="L123" i="87"/>
  <c r="L120" i="87"/>
  <c r="L122" i="87"/>
  <c r="L121" i="87"/>
  <c r="D81" i="87"/>
  <c r="E81" i="87"/>
  <c r="D82" i="87"/>
  <c r="E82" i="87"/>
  <c r="D83" i="87"/>
  <c r="E83" i="87"/>
  <c r="D84" i="87"/>
  <c r="E84" i="87"/>
  <c r="D85" i="87"/>
  <c r="E85" i="87"/>
  <c r="E80" i="87"/>
  <c r="D80" i="87"/>
  <c r="L50" i="87"/>
  <c r="M50" i="87"/>
  <c r="L51" i="87"/>
  <c r="M51" i="87"/>
  <c r="L52" i="87"/>
  <c r="M52" i="87"/>
  <c r="L53" i="87"/>
  <c r="M53" i="87"/>
  <c r="L54" i="87"/>
  <c r="M54" i="87"/>
  <c r="M49" i="87"/>
  <c r="L49" i="87"/>
  <c r="H49" i="87"/>
  <c r="I49" i="87"/>
  <c r="H50" i="87"/>
  <c r="I50" i="87"/>
  <c r="H51" i="87"/>
  <c r="I51" i="87"/>
  <c r="H52" i="87"/>
  <c r="I52" i="87"/>
  <c r="H53" i="87"/>
  <c r="I53" i="87"/>
  <c r="H54" i="87"/>
  <c r="I54" i="87"/>
  <c r="F50" i="87"/>
  <c r="G50" i="87"/>
  <c r="F51" i="87"/>
  <c r="G51" i="87"/>
  <c r="F52" i="87"/>
  <c r="G52" i="87"/>
  <c r="F53" i="87"/>
  <c r="G53" i="87"/>
  <c r="F54" i="87"/>
  <c r="G54" i="87"/>
  <c r="G49" i="87"/>
  <c r="F49" i="87"/>
  <c r="D49" i="87"/>
  <c r="E49" i="87"/>
  <c r="D50" i="87"/>
  <c r="E50" i="87"/>
  <c r="D51" i="87"/>
  <c r="E51" i="87"/>
  <c r="D52" i="87"/>
  <c r="E52" i="87"/>
  <c r="D53" i="87"/>
  <c r="E53" i="87"/>
  <c r="D54" i="87"/>
  <c r="E54" i="87"/>
  <c r="B50" i="87"/>
  <c r="B51" i="87"/>
  <c r="B52" i="87"/>
  <c r="B53" i="87"/>
  <c r="B54" i="87"/>
  <c r="B49" i="87"/>
  <c r="M18" i="87"/>
  <c r="L19" i="87"/>
  <c r="M19" i="87"/>
  <c r="L20" i="87"/>
  <c r="M20" i="87"/>
  <c r="L21" i="87"/>
  <c r="M21" i="87"/>
  <c r="L22" i="87"/>
  <c r="M22" i="87"/>
  <c r="L23" i="87"/>
  <c r="M23" i="87"/>
  <c r="J19" i="87"/>
  <c r="K19" i="87"/>
  <c r="J20" i="87"/>
  <c r="K20" i="87"/>
  <c r="J21" i="87"/>
  <c r="K21" i="87"/>
  <c r="J22" i="87"/>
  <c r="K22" i="87"/>
  <c r="J23" i="87"/>
  <c r="K23" i="87"/>
  <c r="K18" i="87"/>
  <c r="J18" i="87"/>
  <c r="H18" i="87"/>
  <c r="I18" i="87"/>
  <c r="H19" i="87"/>
  <c r="I19" i="87"/>
  <c r="H20" i="87"/>
  <c r="I20" i="87"/>
  <c r="H21" i="87"/>
  <c r="I21" i="87"/>
  <c r="H22" i="87"/>
  <c r="I22" i="87"/>
  <c r="H23" i="87"/>
  <c r="I23" i="87"/>
  <c r="F19" i="87"/>
  <c r="F20" i="87"/>
  <c r="F21" i="87"/>
  <c r="F22" i="87"/>
  <c r="F23" i="87"/>
  <c r="F18" i="87"/>
  <c r="D18" i="87"/>
  <c r="E18" i="87"/>
  <c r="D19" i="87"/>
  <c r="E19" i="87"/>
  <c r="D20" i="87"/>
  <c r="E20" i="87"/>
  <c r="D21" i="87"/>
  <c r="E21" i="87"/>
  <c r="D22" i="87"/>
  <c r="E22" i="87"/>
  <c r="D23" i="87"/>
  <c r="E23" i="87"/>
  <c r="B19" i="87"/>
  <c r="B20" i="87"/>
  <c r="B21" i="87"/>
  <c r="B22" i="87"/>
  <c r="B23" i="87"/>
  <c r="B18" i="87"/>
  <c r="L77" i="87"/>
  <c r="M77" i="87"/>
  <c r="L78" i="87"/>
  <c r="M78" i="87"/>
  <c r="M76" i="87"/>
  <c r="L76" i="87"/>
  <c r="D77" i="87"/>
  <c r="E77" i="87"/>
  <c r="D78" i="87"/>
  <c r="E78" i="87"/>
  <c r="E76" i="87"/>
  <c r="D76" i="87"/>
  <c r="L46" i="87"/>
  <c r="M46" i="87"/>
  <c r="L47" i="87"/>
  <c r="M47" i="87"/>
  <c r="M45" i="87"/>
  <c r="L45" i="87"/>
  <c r="D45" i="87"/>
  <c r="E45" i="87"/>
  <c r="D46" i="87"/>
  <c r="E46" i="87"/>
  <c r="D47" i="87"/>
  <c r="E47" i="87"/>
  <c r="B46" i="87"/>
  <c r="B47" i="87"/>
  <c r="B45" i="87"/>
  <c r="L14" i="87"/>
  <c r="M14" i="87"/>
  <c r="L15" i="87"/>
  <c r="M15" i="87"/>
  <c r="L16" i="87"/>
  <c r="M16" i="87"/>
  <c r="J15" i="87"/>
  <c r="K15" i="87"/>
  <c r="J16" i="87"/>
  <c r="K16" i="87"/>
  <c r="K14" i="87"/>
  <c r="J14" i="87"/>
  <c r="H14" i="87"/>
  <c r="I14" i="87"/>
  <c r="H15" i="87"/>
  <c r="I15" i="87"/>
  <c r="H16" i="87"/>
  <c r="I16" i="87"/>
  <c r="F15" i="87"/>
  <c r="F16" i="87"/>
  <c r="F14" i="87"/>
  <c r="D14" i="87"/>
  <c r="E14" i="87"/>
  <c r="D15" i="87"/>
  <c r="E15" i="87"/>
  <c r="D16" i="87"/>
  <c r="E16" i="87"/>
  <c r="B15" i="87"/>
  <c r="B16" i="87"/>
  <c r="B14" i="87"/>
  <c r="L131" i="86"/>
  <c r="M131" i="86"/>
  <c r="L132" i="86"/>
  <c r="M132" i="86"/>
  <c r="L133" i="86"/>
  <c r="M133" i="86"/>
  <c r="L134" i="86"/>
  <c r="M134" i="86"/>
  <c r="L135" i="86"/>
  <c r="M135" i="86"/>
  <c r="L136" i="86"/>
  <c r="M136" i="86"/>
  <c r="L137" i="86"/>
  <c r="M137" i="86"/>
  <c r="L138" i="86"/>
  <c r="M138" i="86"/>
  <c r="M130" i="86"/>
  <c r="L130" i="86"/>
  <c r="H131" i="86"/>
  <c r="I131" i="86"/>
  <c r="H132" i="86"/>
  <c r="I132" i="86"/>
  <c r="H133" i="86"/>
  <c r="I133" i="86"/>
  <c r="H134" i="86"/>
  <c r="I134" i="86"/>
  <c r="H135" i="86"/>
  <c r="I135" i="86"/>
  <c r="H136" i="86"/>
  <c r="I136" i="86"/>
  <c r="H137" i="86"/>
  <c r="I137" i="86"/>
  <c r="H138" i="86"/>
  <c r="I138" i="86"/>
  <c r="I130" i="86"/>
  <c r="H130" i="86"/>
  <c r="D82" i="86"/>
  <c r="E82" i="86"/>
  <c r="D83" i="86"/>
  <c r="E83" i="86"/>
  <c r="D84" i="86"/>
  <c r="E84" i="86"/>
  <c r="D85" i="86"/>
  <c r="E85" i="86"/>
  <c r="D86" i="86"/>
  <c r="E86" i="86"/>
  <c r="D87" i="86"/>
  <c r="E87" i="86"/>
  <c r="D88" i="86"/>
  <c r="E88" i="86"/>
  <c r="D89" i="86"/>
  <c r="E89" i="86"/>
  <c r="B83" i="86"/>
  <c r="B84" i="86"/>
  <c r="B85" i="86"/>
  <c r="B86" i="86"/>
  <c r="B87" i="86"/>
  <c r="B88" i="86"/>
  <c r="B89" i="86"/>
  <c r="B82" i="86"/>
  <c r="L41" i="86"/>
  <c r="M41" i="86"/>
  <c r="L42" i="86"/>
  <c r="M42" i="86"/>
  <c r="L43" i="86"/>
  <c r="M43" i="86"/>
  <c r="L44" i="86"/>
  <c r="M44" i="86"/>
  <c r="L45" i="86"/>
  <c r="M45" i="86"/>
  <c r="L46" i="86"/>
  <c r="M46" i="86"/>
  <c r="L47" i="86"/>
  <c r="M47" i="86"/>
  <c r="L48" i="86"/>
  <c r="M48" i="86"/>
  <c r="J42" i="86"/>
  <c r="K42" i="86"/>
  <c r="J43" i="86"/>
  <c r="K43" i="86"/>
  <c r="J44" i="86"/>
  <c r="K44" i="86"/>
  <c r="J45" i="86"/>
  <c r="K45" i="86"/>
  <c r="J46" i="86"/>
  <c r="K46" i="86"/>
  <c r="J47" i="86"/>
  <c r="K47" i="86"/>
  <c r="J48" i="86"/>
  <c r="K48" i="86"/>
  <c r="K41" i="86"/>
  <c r="J41" i="86"/>
  <c r="H41" i="86"/>
  <c r="I41" i="86"/>
  <c r="H42" i="86"/>
  <c r="I42" i="86"/>
  <c r="H43" i="86"/>
  <c r="I43" i="86"/>
  <c r="H44" i="86"/>
  <c r="I44" i="86"/>
  <c r="H45" i="86"/>
  <c r="I45" i="86"/>
  <c r="H46" i="86"/>
  <c r="I46" i="86"/>
  <c r="H47" i="86"/>
  <c r="I47" i="86"/>
  <c r="H48" i="86"/>
  <c r="I48" i="86"/>
  <c r="F42" i="86"/>
  <c r="F43" i="86"/>
  <c r="G43" i="86"/>
  <c r="F44" i="86"/>
  <c r="F45" i="86"/>
  <c r="G45" i="86"/>
  <c r="F46" i="86"/>
  <c r="G46" i="86"/>
  <c r="F47" i="86"/>
  <c r="G47" i="86"/>
  <c r="F48" i="86"/>
  <c r="G48" i="86"/>
  <c r="F41" i="86"/>
  <c r="D41" i="86"/>
  <c r="E41" i="86"/>
  <c r="D42" i="86"/>
  <c r="E42" i="86"/>
  <c r="D43" i="86"/>
  <c r="E43" i="86"/>
  <c r="D44" i="86"/>
  <c r="E44" i="86"/>
  <c r="D45" i="86"/>
  <c r="E45" i="86"/>
  <c r="D46" i="86"/>
  <c r="E46" i="86"/>
  <c r="D47" i="86"/>
  <c r="E47" i="86"/>
  <c r="D48" i="86"/>
  <c r="E48" i="86"/>
  <c r="B42" i="86"/>
  <c r="B43" i="86"/>
  <c r="B44" i="86"/>
  <c r="B45" i="86"/>
  <c r="B46" i="86"/>
  <c r="B47" i="86"/>
  <c r="B48" i="86"/>
  <c r="B41" i="86"/>
  <c r="L75" i="86"/>
  <c r="M75" i="86"/>
  <c r="L76" i="86"/>
  <c r="M76" i="86"/>
  <c r="L77" i="86"/>
  <c r="M77" i="86"/>
  <c r="L78" i="86"/>
  <c r="M78" i="86"/>
  <c r="L79" i="86"/>
  <c r="M79" i="86"/>
  <c r="L80" i="86"/>
  <c r="M80" i="86"/>
  <c r="M74" i="86"/>
  <c r="L74" i="86"/>
  <c r="H74" i="86"/>
  <c r="I74" i="86"/>
  <c r="H75" i="86"/>
  <c r="I75" i="86"/>
  <c r="H76" i="86"/>
  <c r="I76" i="86"/>
  <c r="H77" i="86"/>
  <c r="I77" i="86"/>
  <c r="H78" i="86"/>
  <c r="I78" i="86"/>
  <c r="H79" i="86"/>
  <c r="I79" i="86"/>
  <c r="H80" i="86"/>
  <c r="I80" i="86"/>
  <c r="F75" i="86"/>
  <c r="G75" i="86"/>
  <c r="F76" i="86"/>
  <c r="G76" i="86"/>
  <c r="F77" i="86"/>
  <c r="G77" i="86"/>
  <c r="F78" i="86"/>
  <c r="G78" i="86"/>
  <c r="F79" i="86"/>
  <c r="G79" i="86"/>
  <c r="F80" i="86"/>
  <c r="G80" i="86"/>
  <c r="G74" i="86"/>
  <c r="F74" i="86"/>
  <c r="D74" i="86"/>
  <c r="E74" i="86"/>
  <c r="D75" i="86"/>
  <c r="E75" i="86"/>
  <c r="D76" i="86"/>
  <c r="E76" i="86"/>
  <c r="D77" i="86"/>
  <c r="E77" i="86"/>
  <c r="D78" i="86"/>
  <c r="E78" i="86"/>
  <c r="D79" i="86"/>
  <c r="E79" i="86"/>
  <c r="D80" i="86"/>
  <c r="E80" i="86"/>
  <c r="B75" i="86"/>
  <c r="B76" i="86"/>
  <c r="B77" i="86"/>
  <c r="B78" i="86"/>
  <c r="B79" i="86"/>
  <c r="B80" i="86"/>
  <c r="B74" i="86"/>
  <c r="L33" i="86"/>
  <c r="M33" i="86"/>
  <c r="L34" i="86"/>
  <c r="M34" i="86"/>
  <c r="L35" i="86"/>
  <c r="M35" i="86"/>
  <c r="L36" i="86"/>
  <c r="M36" i="86"/>
  <c r="L37" i="86"/>
  <c r="M37" i="86"/>
  <c r="L38" i="86"/>
  <c r="M38" i="86"/>
  <c r="L39" i="86"/>
  <c r="M39" i="86"/>
  <c r="J34" i="86"/>
  <c r="K34" i="86"/>
  <c r="J35" i="86"/>
  <c r="K35" i="86"/>
  <c r="J36" i="86"/>
  <c r="K36" i="86"/>
  <c r="J37" i="86"/>
  <c r="K37" i="86"/>
  <c r="J38" i="86"/>
  <c r="K38" i="86"/>
  <c r="J39" i="86"/>
  <c r="K39" i="86"/>
  <c r="K33" i="86"/>
  <c r="J33" i="86"/>
  <c r="H33" i="86"/>
  <c r="I33" i="86"/>
  <c r="H34" i="86"/>
  <c r="I34" i="86"/>
  <c r="H35" i="86"/>
  <c r="I35" i="86"/>
  <c r="H36" i="86"/>
  <c r="I36" i="86"/>
  <c r="H37" i="86"/>
  <c r="I37" i="86"/>
  <c r="H38" i="86"/>
  <c r="I38" i="86"/>
  <c r="H39" i="86"/>
  <c r="I39" i="86"/>
  <c r="F34" i="86"/>
  <c r="F35" i="86"/>
  <c r="F36" i="86"/>
  <c r="F37" i="86"/>
  <c r="F38" i="86"/>
  <c r="F39" i="86"/>
  <c r="F33" i="86"/>
  <c r="D33" i="86"/>
  <c r="E33" i="86"/>
  <c r="D34" i="86"/>
  <c r="E34" i="86"/>
  <c r="D35" i="86"/>
  <c r="E35" i="86"/>
  <c r="D36" i="86"/>
  <c r="E36" i="86"/>
  <c r="D37" i="86"/>
  <c r="E37" i="86"/>
  <c r="D38" i="86"/>
  <c r="E38" i="86"/>
  <c r="D39" i="86"/>
  <c r="E39" i="86"/>
  <c r="B34" i="86"/>
  <c r="B35" i="86"/>
  <c r="B36" i="86"/>
  <c r="B37" i="86"/>
  <c r="B38" i="86"/>
  <c r="B39" i="86"/>
  <c r="B33" i="86"/>
  <c r="L122" i="86"/>
  <c r="M122" i="86"/>
  <c r="L123" i="86"/>
  <c r="M123" i="86"/>
  <c r="L124" i="86"/>
  <c r="M124" i="86"/>
  <c r="L125" i="86"/>
  <c r="M125" i="86"/>
  <c r="L126" i="86"/>
  <c r="M126" i="86"/>
  <c r="L127" i="86"/>
  <c r="M127" i="86"/>
  <c r="L128" i="86"/>
  <c r="M128" i="86"/>
  <c r="M121" i="86"/>
  <c r="L121" i="86"/>
  <c r="H122" i="86"/>
  <c r="I122" i="86"/>
  <c r="H123" i="86"/>
  <c r="I123" i="86"/>
  <c r="H124" i="86"/>
  <c r="I124" i="86"/>
  <c r="H125" i="86"/>
  <c r="I125" i="86"/>
  <c r="H126" i="86"/>
  <c r="I126" i="86"/>
  <c r="H127" i="86"/>
  <c r="I127" i="86"/>
  <c r="H128" i="86"/>
  <c r="I128" i="86"/>
  <c r="I121" i="86"/>
  <c r="H121" i="86"/>
  <c r="D122" i="86"/>
  <c r="E122" i="86"/>
  <c r="D123" i="86"/>
  <c r="E123" i="86"/>
  <c r="D124" i="86"/>
  <c r="E124" i="86"/>
  <c r="D125" i="86"/>
  <c r="E125" i="86"/>
  <c r="D126" i="86"/>
  <c r="E126" i="86"/>
  <c r="D127" i="86"/>
  <c r="E127" i="86"/>
  <c r="D128" i="86"/>
  <c r="E128" i="86"/>
  <c r="E121" i="86"/>
  <c r="D121" i="86"/>
  <c r="H113" i="86"/>
  <c r="I113" i="86"/>
  <c r="H114" i="86"/>
  <c r="I114" i="86"/>
  <c r="H115" i="86"/>
  <c r="I115" i="86"/>
  <c r="H116" i="86"/>
  <c r="I116" i="86"/>
  <c r="H117" i="86"/>
  <c r="I117" i="86"/>
  <c r="H118" i="86"/>
  <c r="I118" i="86"/>
  <c r="H119" i="86"/>
  <c r="I119" i="86"/>
  <c r="I112" i="86"/>
  <c r="H112" i="86"/>
  <c r="D113" i="86"/>
  <c r="E113" i="86"/>
  <c r="D114" i="86"/>
  <c r="E114" i="86"/>
  <c r="D115" i="86"/>
  <c r="E115" i="86"/>
  <c r="D116" i="86"/>
  <c r="E116" i="86"/>
  <c r="D117" i="86"/>
  <c r="E117" i="86"/>
  <c r="D118" i="86"/>
  <c r="E118" i="86"/>
  <c r="D119" i="86"/>
  <c r="E119" i="86"/>
  <c r="E112" i="86"/>
  <c r="D112" i="86"/>
  <c r="L66" i="86"/>
  <c r="M66" i="86"/>
  <c r="L67" i="86"/>
  <c r="M67" i="86"/>
  <c r="L68" i="86"/>
  <c r="M68" i="86"/>
  <c r="L69" i="86"/>
  <c r="M69" i="86"/>
  <c r="L70" i="86"/>
  <c r="M70" i="86"/>
  <c r="L71" i="86"/>
  <c r="M71" i="86"/>
  <c r="L72" i="86"/>
  <c r="M72" i="86"/>
  <c r="M65" i="86"/>
  <c r="L65" i="86"/>
  <c r="H65" i="86"/>
  <c r="I65" i="86"/>
  <c r="H66" i="86"/>
  <c r="I66" i="86"/>
  <c r="H67" i="86"/>
  <c r="I67" i="86"/>
  <c r="H68" i="86"/>
  <c r="I68" i="86"/>
  <c r="H69" i="86"/>
  <c r="I69" i="86"/>
  <c r="H70" i="86"/>
  <c r="I70" i="86"/>
  <c r="H71" i="86"/>
  <c r="I71" i="86"/>
  <c r="H72" i="86"/>
  <c r="I72" i="86"/>
  <c r="F66" i="86"/>
  <c r="G66" i="86"/>
  <c r="F67" i="86"/>
  <c r="G67" i="86"/>
  <c r="F68" i="86"/>
  <c r="G68" i="86"/>
  <c r="F69" i="86"/>
  <c r="G69" i="86"/>
  <c r="F70" i="86"/>
  <c r="G70" i="86"/>
  <c r="F71" i="86"/>
  <c r="G71" i="86"/>
  <c r="F72" i="86"/>
  <c r="G72" i="86"/>
  <c r="G65" i="86"/>
  <c r="F65" i="86"/>
  <c r="D65" i="86"/>
  <c r="E65" i="86"/>
  <c r="D66" i="86"/>
  <c r="E66" i="86"/>
  <c r="D67" i="86"/>
  <c r="E67" i="86"/>
  <c r="D68" i="86"/>
  <c r="E68" i="86"/>
  <c r="D69" i="86"/>
  <c r="E69" i="86"/>
  <c r="D70" i="86"/>
  <c r="E70" i="86"/>
  <c r="D71" i="86"/>
  <c r="E71" i="86"/>
  <c r="D72" i="86"/>
  <c r="E72" i="86"/>
  <c r="B66" i="86"/>
  <c r="B67" i="86"/>
  <c r="B68" i="86"/>
  <c r="B69" i="86"/>
  <c r="B70" i="86"/>
  <c r="B71" i="86"/>
  <c r="B72" i="86"/>
  <c r="B65" i="86"/>
  <c r="L24" i="86"/>
  <c r="M24" i="86"/>
  <c r="L25" i="86"/>
  <c r="M25" i="86"/>
  <c r="L26" i="86"/>
  <c r="M26" i="86"/>
  <c r="L27" i="86"/>
  <c r="M27" i="86"/>
  <c r="L28" i="86"/>
  <c r="M28" i="86"/>
  <c r="L29" i="86"/>
  <c r="M29" i="86"/>
  <c r="L30" i="86"/>
  <c r="M30" i="86"/>
  <c r="L31" i="86"/>
  <c r="M31" i="86"/>
  <c r="J25" i="86"/>
  <c r="K25" i="86"/>
  <c r="J26" i="86"/>
  <c r="K26" i="86"/>
  <c r="J27" i="86"/>
  <c r="K27" i="86"/>
  <c r="J28" i="86"/>
  <c r="K28" i="86"/>
  <c r="J29" i="86"/>
  <c r="K29" i="86"/>
  <c r="J30" i="86"/>
  <c r="K30" i="86"/>
  <c r="J31" i="86"/>
  <c r="K31" i="86"/>
  <c r="K24" i="86"/>
  <c r="J24" i="86"/>
  <c r="H24" i="86"/>
  <c r="I24" i="86"/>
  <c r="H25" i="86"/>
  <c r="I25" i="86"/>
  <c r="H26" i="86"/>
  <c r="I26" i="86"/>
  <c r="H27" i="86"/>
  <c r="I27" i="86"/>
  <c r="H28" i="86"/>
  <c r="I28" i="86"/>
  <c r="H29" i="86"/>
  <c r="I29" i="86"/>
  <c r="H30" i="86"/>
  <c r="I30" i="86"/>
  <c r="H31" i="86"/>
  <c r="I31" i="86"/>
  <c r="F25" i="86"/>
  <c r="F26" i="86"/>
  <c r="F27" i="86"/>
  <c r="F28" i="86"/>
  <c r="F29" i="86"/>
  <c r="F30" i="86"/>
  <c r="F31" i="86"/>
  <c r="F24" i="86"/>
  <c r="D24" i="86"/>
  <c r="E24" i="86"/>
  <c r="D25" i="86"/>
  <c r="E25" i="86"/>
  <c r="D26" i="86"/>
  <c r="E26" i="86"/>
  <c r="D27" i="86"/>
  <c r="E27" i="86"/>
  <c r="D28" i="86"/>
  <c r="E28" i="86"/>
  <c r="D29" i="86"/>
  <c r="E29" i="86"/>
  <c r="D30" i="86"/>
  <c r="E30" i="86"/>
  <c r="D31" i="86"/>
  <c r="E31" i="86"/>
  <c r="B25" i="86"/>
  <c r="B26" i="86"/>
  <c r="B27" i="86"/>
  <c r="B28" i="86"/>
  <c r="B29" i="86"/>
  <c r="B30" i="86"/>
  <c r="B31" i="86"/>
  <c r="B24" i="86"/>
  <c r="L103" i="86"/>
  <c r="M103" i="86"/>
  <c r="L104" i="86"/>
  <c r="M104" i="86"/>
  <c r="L105" i="86"/>
  <c r="M105" i="86"/>
  <c r="L106" i="86"/>
  <c r="M106" i="86"/>
  <c r="L107" i="86"/>
  <c r="M107" i="86"/>
  <c r="L108" i="86"/>
  <c r="M108" i="86"/>
  <c r="L109" i="86"/>
  <c r="M109" i="86"/>
  <c r="L110" i="86"/>
  <c r="M110" i="86"/>
  <c r="M102" i="86"/>
  <c r="L102" i="86"/>
  <c r="H102" i="86"/>
  <c r="H103" i="86"/>
  <c r="I103" i="86"/>
  <c r="H104" i="86"/>
  <c r="I104" i="86"/>
  <c r="H105" i="86"/>
  <c r="I105" i="86"/>
  <c r="H106" i="86"/>
  <c r="I106" i="86"/>
  <c r="H107" i="86"/>
  <c r="I107" i="86"/>
  <c r="H108" i="86"/>
  <c r="I108" i="86"/>
  <c r="H109" i="86"/>
  <c r="I109" i="86"/>
  <c r="H110" i="86"/>
  <c r="I110" i="86"/>
  <c r="I102" i="86"/>
  <c r="D103" i="86"/>
  <c r="E103" i="86"/>
  <c r="D104" i="86"/>
  <c r="E104" i="86"/>
  <c r="D105" i="86"/>
  <c r="E105" i="86"/>
  <c r="D106" i="86"/>
  <c r="E106" i="86"/>
  <c r="D107" i="86"/>
  <c r="E107" i="86"/>
  <c r="D108" i="86"/>
  <c r="E108" i="86"/>
  <c r="D109" i="86"/>
  <c r="E109" i="86"/>
  <c r="D110" i="86"/>
  <c r="E110" i="86"/>
  <c r="E102" i="86"/>
  <c r="D102" i="86"/>
  <c r="L56" i="86"/>
  <c r="M56" i="86"/>
  <c r="L57" i="86"/>
  <c r="M57" i="86"/>
  <c r="L58" i="86"/>
  <c r="M58" i="86"/>
  <c r="L59" i="86"/>
  <c r="M59" i="86"/>
  <c r="L60" i="86"/>
  <c r="M60" i="86"/>
  <c r="L61" i="86"/>
  <c r="M61" i="86"/>
  <c r="L62" i="86"/>
  <c r="M62" i="86"/>
  <c r="L63" i="86"/>
  <c r="M63" i="86"/>
  <c r="M55" i="86"/>
  <c r="L55" i="86"/>
  <c r="I63" i="86"/>
  <c r="H63" i="86"/>
  <c r="I62" i="86"/>
  <c r="H62" i="86"/>
  <c r="I61" i="86"/>
  <c r="H61" i="86"/>
  <c r="I60" i="86"/>
  <c r="H60" i="86"/>
  <c r="I59" i="86"/>
  <c r="H59" i="86"/>
  <c r="I58" i="86"/>
  <c r="H58" i="86"/>
  <c r="I57" i="86"/>
  <c r="H57" i="86"/>
  <c r="I56" i="86"/>
  <c r="H56" i="86"/>
  <c r="I55" i="86"/>
  <c r="H55" i="86"/>
  <c r="F56" i="86"/>
  <c r="G56" i="86"/>
  <c r="F57" i="86"/>
  <c r="G57" i="86"/>
  <c r="F58" i="86"/>
  <c r="G58" i="86"/>
  <c r="F59" i="86"/>
  <c r="G59" i="86"/>
  <c r="F60" i="86"/>
  <c r="G60" i="86"/>
  <c r="F61" i="86"/>
  <c r="G61" i="86"/>
  <c r="F62" i="86"/>
  <c r="G62" i="86"/>
  <c r="F63" i="86"/>
  <c r="G63" i="86"/>
  <c r="G55" i="86"/>
  <c r="F55" i="86"/>
  <c r="D55" i="86"/>
  <c r="E55" i="86"/>
  <c r="D56" i="86"/>
  <c r="E56" i="86"/>
  <c r="D57" i="86"/>
  <c r="E57" i="86"/>
  <c r="D58" i="86"/>
  <c r="E58" i="86"/>
  <c r="D59" i="86"/>
  <c r="E59" i="86"/>
  <c r="D60" i="86"/>
  <c r="E60" i="86"/>
  <c r="D61" i="86"/>
  <c r="E61" i="86"/>
  <c r="D62" i="86"/>
  <c r="E62" i="86"/>
  <c r="D63" i="86"/>
  <c r="E63" i="86"/>
  <c r="B56" i="86"/>
  <c r="B57" i="86"/>
  <c r="B58" i="86"/>
  <c r="B59" i="86"/>
  <c r="B60" i="86"/>
  <c r="B61" i="86"/>
  <c r="B62" i="86"/>
  <c r="B63" i="86"/>
  <c r="B55" i="86"/>
  <c r="L14" i="86"/>
  <c r="M14" i="86"/>
  <c r="L16" i="86"/>
  <c r="M16" i="86"/>
  <c r="L17" i="86"/>
  <c r="M17" i="86"/>
  <c r="L18" i="86"/>
  <c r="M18" i="86"/>
  <c r="L19" i="86"/>
  <c r="M19" i="86"/>
  <c r="L20" i="86"/>
  <c r="M20" i="86"/>
  <c r="L21" i="86"/>
  <c r="M21" i="86"/>
  <c r="L22" i="86"/>
  <c r="M22" i="86"/>
  <c r="J15" i="86"/>
  <c r="K15" i="86"/>
  <c r="J16" i="86"/>
  <c r="K16" i="86"/>
  <c r="J17" i="86"/>
  <c r="K17" i="86"/>
  <c r="J18" i="86"/>
  <c r="K18" i="86"/>
  <c r="J19" i="86"/>
  <c r="K19" i="86"/>
  <c r="J20" i="86"/>
  <c r="K20" i="86"/>
  <c r="J21" i="86"/>
  <c r="K21" i="86"/>
  <c r="J22" i="86"/>
  <c r="K22" i="86"/>
  <c r="K14" i="86"/>
  <c r="J14" i="86"/>
  <c r="H14" i="86"/>
  <c r="I14" i="86"/>
  <c r="H15" i="86"/>
  <c r="I15" i="86"/>
  <c r="H16" i="86"/>
  <c r="I16" i="86"/>
  <c r="H17" i="86"/>
  <c r="I17" i="86"/>
  <c r="H18" i="86"/>
  <c r="I18" i="86"/>
  <c r="H19" i="86"/>
  <c r="I19" i="86"/>
  <c r="H20" i="86"/>
  <c r="I20" i="86"/>
  <c r="H21" i="86"/>
  <c r="I21" i="86"/>
  <c r="H22" i="86"/>
  <c r="I22" i="86"/>
  <c r="F15" i="86"/>
  <c r="F16" i="86"/>
  <c r="F17" i="86"/>
  <c r="F18" i="86"/>
  <c r="F19" i="86"/>
  <c r="F20" i="86"/>
  <c r="F21" i="86"/>
  <c r="F22" i="86"/>
  <c r="F14" i="86"/>
  <c r="D14" i="86"/>
  <c r="E14" i="86"/>
  <c r="D15" i="86"/>
  <c r="E15" i="86"/>
  <c r="D16" i="86"/>
  <c r="E16" i="86"/>
  <c r="D17" i="86"/>
  <c r="E17" i="86"/>
  <c r="D18" i="86"/>
  <c r="E18" i="86"/>
  <c r="D19" i="86"/>
  <c r="E19" i="86"/>
  <c r="D20" i="86"/>
  <c r="E20" i="86"/>
  <c r="D21" i="86"/>
  <c r="E21" i="86"/>
  <c r="D22" i="86"/>
  <c r="E22" i="86"/>
  <c r="B15" i="86"/>
  <c r="B16" i="86"/>
  <c r="B17" i="86"/>
  <c r="B18" i="86"/>
  <c r="B19" i="86"/>
  <c r="B20" i="86"/>
  <c r="B21" i="86"/>
  <c r="B22" i="86"/>
  <c r="B14" i="86"/>
  <c r="H107" i="85"/>
  <c r="I107" i="85"/>
  <c r="H108" i="85"/>
  <c r="I108" i="85"/>
  <c r="H109" i="85"/>
  <c r="I109" i="85"/>
  <c r="H110" i="85"/>
  <c r="I110" i="85"/>
  <c r="H147" i="85" s="1"/>
  <c r="I106" i="85"/>
  <c r="H106" i="85"/>
  <c r="D107" i="85"/>
  <c r="E107" i="85"/>
  <c r="D108" i="85"/>
  <c r="E108" i="85"/>
  <c r="D109" i="85"/>
  <c r="E109" i="85"/>
  <c r="D110" i="85"/>
  <c r="E110" i="85"/>
  <c r="E106" i="85"/>
  <c r="D106" i="85"/>
  <c r="D75" i="85"/>
  <c r="E75" i="85"/>
  <c r="C75" i="85"/>
  <c r="B75" i="85"/>
  <c r="L71" i="85"/>
  <c r="M71" i="85"/>
  <c r="L72" i="85"/>
  <c r="M72" i="85"/>
  <c r="L73" i="85"/>
  <c r="M73" i="85"/>
  <c r="M70" i="85"/>
  <c r="L70" i="85"/>
  <c r="L63" i="85"/>
  <c r="M63" i="85"/>
  <c r="L64" i="85"/>
  <c r="M64" i="85"/>
  <c r="L65" i="85"/>
  <c r="M65" i="85"/>
  <c r="L66" i="85"/>
  <c r="M66" i="85"/>
  <c r="L67" i="85"/>
  <c r="M67" i="85"/>
  <c r="L68" i="85"/>
  <c r="M68" i="85"/>
  <c r="H70" i="85"/>
  <c r="I70" i="85"/>
  <c r="H71" i="85"/>
  <c r="I71" i="85"/>
  <c r="H72" i="85"/>
  <c r="I72" i="85"/>
  <c r="H73" i="85"/>
  <c r="I73" i="85"/>
  <c r="F71" i="85"/>
  <c r="G71" i="85"/>
  <c r="F72" i="85"/>
  <c r="G72" i="85"/>
  <c r="F73" i="85"/>
  <c r="G73" i="85"/>
  <c r="G70" i="85"/>
  <c r="F70" i="85"/>
  <c r="D70" i="85"/>
  <c r="E70" i="85"/>
  <c r="D71" i="85"/>
  <c r="E71" i="85"/>
  <c r="D72" i="85"/>
  <c r="E72" i="85"/>
  <c r="D73" i="85"/>
  <c r="E73" i="85"/>
  <c r="B71" i="85"/>
  <c r="C71" i="85"/>
  <c r="B72" i="85"/>
  <c r="C72" i="85"/>
  <c r="B73" i="85"/>
  <c r="C73" i="85"/>
  <c r="C70" i="85"/>
  <c r="B70" i="85"/>
  <c r="L41" i="85"/>
  <c r="M41" i="85"/>
  <c r="K41" i="85"/>
  <c r="J41" i="85"/>
  <c r="H41" i="85"/>
  <c r="I41" i="85"/>
  <c r="F41" i="85"/>
  <c r="D41" i="85"/>
  <c r="E41" i="85"/>
  <c r="B41" i="85"/>
  <c r="L36" i="85"/>
  <c r="M36" i="85"/>
  <c r="L37" i="85"/>
  <c r="M37" i="85"/>
  <c r="L38" i="85"/>
  <c r="M38" i="85"/>
  <c r="L39" i="85"/>
  <c r="M39" i="85"/>
  <c r="J37" i="85"/>
  <c r="K37" i="85"/>
  <c r="J38" i="85"/>
  <c r="K38" i="85"/>
  <c r="J39" i="85"/>
  <c r="K39" i="85"/>
  <c r="K36" i="85"/>
  <c r="J36" i="85"/>
  <c r="H36" i="85"/>
  <c r="I36" i="85"/>
  <c r="H37" i="85"/>
  <c r="I37" i="85"/>
  <c r="H38" i="85"/>
  <c r="I38" i="85"/>
  <c r="H39" i="85"/>
  <c r="I39" i="85"/>
  <c r="F37" i="85"/>
  <c r="F38" i="85"/>
  <c r="F39" i="85"/>
  <c r="F36" i="85"/>
  <c r="D36" i="85"/>
  <c r="E36" i="85"/>
  <c r="D37" i="85"/>
  <c r="E37" i="85"/>
  <c r="D38" i="85"/>
  <c r="E38" i="85"/>
  <c r="D39" i="85"/>
  <c r="E39" i="85"/>
  <c r="B37" i="85"/>
  <c r="B38" i="85"/>
  <c r="B39" i="85"/>
  <c r="B36" i="85"/>
  <c r="L99" i="85"/>
  <c r="M99" i="85"/>
  <c r="L100" i="85"/>
  <c r="M100" i="85"/>
  <c r="L101" i="85"/>
  <c r="M101" i="85"/>
  <c r="L102" i="85"/>
  <c r="M102" i="85"/>
  <c r="L103" i="85"/>
  <c r="M103" i="85"/>
  <c r="L104" i="85"/>
  <c r="M104" i="85"/>
  <c r="J100" i="85"/>
  <c r="K100" i="85"/>
  <c r="J101" i="85"/>
  <c r="K101" i="85"/>
  <c r="J102" i="85"/>
  <c r="K102" i="85"/>
  <c r="J103" i="85"/>
  <c r="K103" i="85"/>
  <c r="J104" i="85"/>
  <c r="K104" i="85"/>
  <c r="K99" i="85"/>
  <c r="J99" i="85"/>
  <c r="H100" i="85"/>
  <c r="I100" i="85"/>
  <c r="H101" i="85"/>
  <c r="I101" i="85"/>
  <c r="H102" i="85"/>
  <c r="I102" i="85"/>
  <c r="H103" i="85"/>
  <c r="I103" i="85"/>
  <c r="H104" i="85"/>
  <c r="I104" i="85"/>
  <c r="I99" i="85"/>
  <c r="H99" i="85"/>
  <c r="D100" i="85"/>
  <c r="E100" i="85"/>
  <c r="D101" i="85"/>
  <c r="E101" i="85"/>
  <c r="D102" i="85"/>
  <c r="E102" i="85"/>
  <c r="D103" i="85"/>
  <c r="E103" i="85"/>
  <c r="D104" i="85"/>
  <c r="E104" i="85"/>
  <c r="E99" i="85"/>
  <c r="D99" i="85"/>
  <c r="H63" i="85"/>
  <c r="I63" i="85"/>
  <c r="H64" i="85"/>
  <c r="I64" i="85"/>
  <c r="H65" i="85"/>
  <c r="I65" i="85"/>
  <c r="H66" i="85"/>
  <c r="I66" i="85"/>
  <c r="H67" i="85"/>
  <c r="I67" i="85"/>
  <c r="H68" i="85"/>
  <c r="I68" i="85"/>
  <c r="F64" i="85"/>
  <c r="G64" i="85"/>
  <c r="F65" i="85"/>
  <c r="G65" i="85"/>
  <c r="F66" i="85"/>
  <c r="G66" i="85"/>
  <c r="F67" i="85"/>
  <c r="G67" i="85"/>
  <c r="F68" i="85"/>
  <c r="G68" i="85"/>
  <c r="G63" i="85"/>
  <c r="F63" i="85"/>
  <c r="D63" i="85"/>
  <c r="E63" i="85"/>
  <c r="D64" i="85"/>
  <c r="E64" i="85"/>
  <c r="D65" i="85"/>
  <c r="E65" i="85"/>
  <c r="D66" i="85"/>
  <c r="E66" i="85"/>
  <c r="D67" i="85"/>
  <c r="E67" i="85"/>
  <c r="D68" i="85"/>
  <c r="E68" i="85"/>
  <c r="B64" i="85"/>
  <c r="C64" i="85"/>
  <c r="B65" i="85"/>
  <c r="C65" i="85"/>
  <c r="B66" i="85"/>
  <c r="C66" i="85"/>
  <c r="B67" i="85"/>
  <c r="C67" i="85"/>
  <c r="B68" i="85"/>
  <c r="C68" i="85"/>
  <c r="C63" i="85"/>
  <c r="B63" i="85"/>
  <c r="L29" i="85"/>
  <c r="M29" i="85"/>
  <c r="L30" i="85"/>
  <c r="M30" i="85"/>
  <c r="L31" i="85"/>
  <c r="M31" i="85"/>
  <c r="L32" i="85"/>
  <c r="M32" i="85"/>
  <c r="L33" i="85"/>
  <c r="M33" i="85"/>
  <c r="L34" i="85"/>
  <c r="M34" i="85"/>
  <c r="J30" i="85"/>
  <c r="K30" i="85"/>
  <c r="J31" i="85"/>
  <c r="K31" i="85"/>
  <c r="J32" i="85"/>
  <c r="K32" i="85"/>
  <c r="J33" i="85"/>
  <c r="K33" i="85"/>
  <c r="J34" i="85"/>
  <c r="K34" i="85"/>
  <c r="K29" i="85"/>
  <c r="J29" i="85"/>
  <c r="H29" i="85"/>
  <c r="I29" i="85"/>
  <c r="H30" i="85"/>
  <c r="I30" i="85"/>
  <c r="H31" i="85"/>
  <c r="I31" i="85"/>
  <c r="H32" i="85"/>
  <c r="I32" i="85"/>
  <c r="H33" i="85"/>
  <c r="I33" i="85"/>
  <c r="H34" i="85"/>
  <c r="I34" i="85"/>
  <c r="F30" i="85"/>
  <c r="F31" i="85"/>
  <c r="F32" i="85"/>
  <c r="F33" i="85"/>
  <c r="F34" i="85"/>
  <c r="F29" i="85"/>
  <c r="D29" i="85"/>
  <c r="E29" i="85"/>
  <c r="D30" i="85"/>
  <c r="E30" i="85"/>
  <c r="D31" i="85"/>
  <c r="E31" i="85"/>
  <c r="D32" i="85"/>
  <c r="E32" i="85"/>
  <c r="D33" i="85"/>
  <c r="E33" i="85"/>
  <c r="D34" i="85"/>
  <c r="E34" i="85"/>
  <c r="B30" i="85"/>
  <c r="B31" i="85"/>
  <c r="B32" i="85"/>
  <c r="B33" i="85"/>
  <c r="B34" i="85"/>
  <c r="B29" i="85"/>
  <c r="D92" i="85"/>
  <c r="E92" i="85"/>
  <c r="D93" i="85"/>
  <c r="E93" i="85"/>
  <c r="D94" i="85"/>
  <c r="E94" i="85"/>
  <c r="D95" i="85"/>
  <c r="E95" i="85"/>
  <c r="D96" i="85"/>
  <c r="E96" i="85"/>
  <c r="D97" i="85"/>
  <c r="E97" i="85"/>
  <c r="E91" i="85"/>
  <c r="D91" i="85"/>
  <c r="L56" i="85"/>
  <c r="M56" i="85"/>
  <c r="L57" i="85"/>
  <c r="M57" i="85"/>
  <c r="L58" i="85"/>
  <c r="M58" i="85"/>
  <c r="L59" i="85"/>
  <c r="M59" i="85"/>
  <c r="L60" i="85"/>
  <c r="M60" i="85"/>
  <c r="L61" i="85"/>
  <c r="M61" i="85"/>
  <c r="M55" i="85"/>
  <c r="L55" i="85"/>
  <c r="D55" i="85"/>
  <c r="E55" i="85"/>
  <c r="D56" i="85"/>
  <c r="E56" i="85"/>
  <c r="D57" i="85"/>
  <c r="E57" i="85"/>
  <c r="D58" i="85"/>
  <c r="E58" i="85"/>
  <c r="D59" i="85"/>
  <c r="E59" i="85"/>
  <c r="D60" i="85"/>
  <c r="E60" i="85"/>
  <c r="D61" i="85"/>
  <c r="E61" i="85"/>
  <c r="B56" i="85"/>
  <c r="C56" i="85"/>
  <c r="B57" i="85"/>
  <c r="C57" i="85"/>
  <c r="B58" i="85"/>
  <c r="C58" i="85"/>
  <c r="B59" i="85"/>
  <c r="C59" i="85"/>
  <c r="B60" i="85"/>
  <c r="C60" i="85"/>
  <c r="B61" i="85"/>
  <c r="C61" i="85"/>
  <c r="C55" i="85"/>
  <c r="B55" i="85"/>
  <c r="L21" i="85"/>
  <c r="M21" i="85"/>
  <c r="L22" i="85"/>
  <c r="M22" i="85"/>
  <c r="L23" i="85"/>
  <c r="M23" i="85"/>
  <c r="L24" i="85"/>
  <c r="M24" i="85"/>
  <c r="L25" i="85"/>
  <c r="M25" i="85"/>
  <c r="L26" i="85"/>
  <c r="M26" i="85"/>
  <c r="L27" i="85"/>
  <c r="M27" i="85"/>
  <c r="J22" i="85"/>
  <c r="K22" i="85"/>
  <c r="J23" i="85"/>
  <c r="K23" i="85"/>
  <c r="J24" i="85"/>
  <c r="K24" i="85"/>
  <c r="J25" i="85"/>
  <c r="K25" i="85"/>
  <c r="J26" i="85"/>
  <c r="K26" i="85"/>
  <c r="J27" i="85"/>
  <c r="K27" i="85"/>
  <c r="K21" i="85"/>
  <c r="J21" i="85"/>
  <c r="H21" i="85"/>
  <c r="I21" i="85"/>
  <c r="H22" i="85"/>
  <c r="I22" i="85"/>
  <c r="H23" i="85"/>
  <c r="I23" i="85"/>
  <c r="H24" i="85"/>
  <c r="I24" i="85"/>
  <c r="H25" i="85"/>
  <c r="I25" i="85"/>
  <c r="H26" i="85"/>
  <c r="I26" i="85"/>
  <c r="H27" i="85"/>
  <c r="I27" i="85"/>
  <c r="F22" i="85"/>
  <c r="F23" i="85"/>
  <c r="F24" i="85"/>
  <c r="F25" i="85"/>
  <c r="F26" i="85"/>
  <c r="F27" i="85"/>
  <c r="F21" i="85"/>
  <c r="D21" i="85"/>
  <c r="E21" i="85"/>
  <c r="D22" i="85"/>
  <c r="E22" i="85"/>
  <c r="D23" i="85"/>
  <c r="E23" i="85"/>
  <c r="D24" i="85"/>
  <c r="E24" i="85"/>
  <c r="D25" i="85"/>
  <c r="E25" i="85"/>
  <c r="D26" i="85"/>
  <c r="E26" i="85"/>
  <c r="D27" i="85"/>
  <c r="E27" i="85"/>
  <c r="B22" i="85"/>
  <c r="B23" i="85"/>
  <c r="B24" i="85"/>
  <c r="B25" i="85"/>
  <c r="B26" i="85"/>
  <c r="B27" i="85"/>
  <c r="B21" i="85"/>
  <c r="H84" i="85"/>
  <c r="I84" i="85"/>
  <c r="H85" i="85"/>
  <c r="I85" i="85"/>
  <c r="H86" i="85"/>
  <c r="I86" i="85"/>
  <c r="H87" i="85"/>
  <c r="I87" i="85"/>
  <c r="H88" i="85"/>
  <c r="I88" i="85"/>
  <c r="H89" i="85"/>
  <c r="I89" i="85"/>
  <c r="I83" i="85"/>
  <c r="H83" i="85"/>
  <c r="E84" i="85"/>
  <c r="E85" i="85"/>
  <c r="E86" i="85"/>
  <c r="E87" i="85"/>
  <c r="E88" i="85"/>
  <c r="E89" i="85"/>
  <c r="E83" i="85"/>
  <c r="D84" i="85"/>
  <c r="D85" i="85"/>
  <c r="D86" i="85"/>
  <c r="D87" i="85"/>
  <c r="D88" i="85"/>
  <c r="D89" i="85"/>
  <c r="D83" i="85"/>
  <c r="L49" i="85"/>
  <c r="M49" i="85"/>
  <c r="L50" i="85"/>
  <c r="M50" i="85"/>
  <c r="L51" i="85"/>
  <c r="M51" i="85"/>
  <c r="L52" i="85"/>
  <c r="M52" i="85"/>
  <c r="L53" i="85"/>
  <c r="M53" i="85"/>
  <c r="M48" i="85"/>
  <c r="L48" i="85"/>
  <c r="H48" i="85"/>
  <c r="I48" i="85"/>
  <c r="H49" i="85"/>
  <c r="I49" i="85"/>
  <c r="H50" i="85"/>
  <c r="I50" i="85"/>
  <c r="H51" i="85"/>
  <c r="I51" i="85"/>
  <c r="H52" i="85"/>
  <c r="I52" i="85"/>
  <c r="H53" i="85"/>
  <c r="I53" i="85"/>
  <c r="F49" i="85"/>
  <c r="G49" i="85"/>
  <c r="F50" i="85"/>
  <c r="G50" i="85"/>
  <c r="F51" i="85"/>
  <c r="G51" i="85"/>
  <c r="F52" i="85"/>
  <c r="G52" i="85"/>
  <c r="F53" i="85"/>
  <c r="G53" i="85"/>
  <c r="G48" i="85"/>
  <c r="F48" i="85"/>
  <c r="D48" i="85"/>
  <c r="E48" i="85"/>
  <c r="D49" i="85"/>
  <c r="E49" i="85"/>
  <c r="D50" i="85"/>
  <c r="E50" i="85"/>
  <c r="D51" i="85"/>
  <c r="E51" i="85"/>
  <c r="D52" i="85"/>
  <c r="E52" i="85"/>
  <c r="D53" i="85"/>
  <c r="E53" i="85"/>
  <c r="B49" i="85"/>
  <c r="B50" i="85"/>
  <c r="B51" i="85"/>
  <c r="B52" i="85"/>
  <c r="B53" i="85"/>
  <c r="B48" i="85"/>
  <c r="L14" i="85"/>
  <c r="M14" i="85"/>
  <c r="L15" i="85"/>
  <c r="M15" i="85"/>
  <c r="L16" i="85"/>
  <c r="M16" i="85"/>
  <c r="L17" i="85"/>
  <c r="M17" i="85"/>
  <c r="L18" i="85"/>
  <c r="M18" i="85"/>
  <c r="L19" i="85"/>
  <c r="M19" i="85"/>
  <c r="J15" i="85"/>
  <c r="K15" i="85"/>
  <c r="J16" i="85"/>
  <c r="K16" i="85"/>
  <c r="J17" i="85"/>
  <c r="K17" i="85"/>
  <c r="J18" i="85"/>
  <c r="K18" i="85"/>
  <c r="J19" i="85"/>
  <c r="K19" i="85"/>
  <c r="K14" i="85"/>
  <c r="J14" i="85"/>
  <c r="H14" i="85"/>
  <c r="I14" i="85"/>
  <c r="H15" i="85"/>
  <c r="I15" i="85"/>
  <c r="H16" i="85"/>
  <c r="I16" i="85"/>
  <c r="H17" i="85"/>
  <c r="I17" i="85"/>
  <c r="H18" i="85"/>
  <c r="I18" i="85"/>
  <c r="H19" i="85"/>
  <c r="I19" i="85"/>
  <c r="F15" i="85"/>
  <c r="F16" i="85"/>
  <c r="F17" i="85"/>
  <c r="F18" i="85"/>
  <c r="F19" i="85"/>
  <c r="F14" i="85"/>
  <c r="B15" i="85"/>
  <c r="B16" i="85"/>
  <c r="B17" i="85"/>
  <c r="B18" i="85"/>
  <c r="B19" i="85"/>
  <c r="B14" i="85"/>
  <c r="J23" i="86" l="1"/>
  <c r="H141" i="85"/>
  <c r="H137" i="85"/>
  <c r="H145" i="85"/>
  <c r="H143" i="85"/>
  <c r="H139" i="85"/>
  <c r="H146" i="85"/>
  <c r="H144" i="85"/>
  <c r="H140" i="85"/>
  <c r="H138" i="85"/>
  <c r="H136" i="85"/>
  <c r="K23" i="86"/>
  <c r="H155" i="86"/>
  <c r="H154" i="86"/>
  <c r="H153" i="86"/>
  <c r="H152" i="86"/>
  <c r="H151" i="86"/>
  <c r="H150" i="86"/>
  <c r="H149" i="86"/>
  <c r="H147" i="86"/>
  <c r="L114" i="87"/>
  <c r="L118" i="87"/>
  <c r="L112" i="87"/>
  <c r="L117" i="87"/>
  <c r="L115" i="87"/>
  <c r="L113" i="87"/>
  <c r="L109" i="87"/>
  <c r="L110" i="87"/>
  <c r="L108" i="87"/>
  <c r="L116" i="87"/>
  <c r="H61" i="61"/>
  <c r="I57" i="84"/>
  <c r="H57" i="84"/>
  <c r="I56" i="84"/>
  <c r="H56" i="84"/>
  <c r="I55" i="84"/>
  <c r="H55" i="84"/>
  <c r="I54" i="84"/>
  <c r="H54" i="84"/>
  <c r="I53" i="84"/>
  <c r="H53" i="84"/>
  <c r="I52" i="84"/>
  <c r="H52" i="84"/>
  <c r="G52" i="84"/>
  <c r="G53" i="84"/>
  <c r="G54" i="84"/>
  <c r="G55" i="84"/>
  <c r="G56" i="84"/>
  <c r="G57" i="84"/>
  <c r="F53" i="84"/>
  <c r="F54" i="84"/>
  <c r="F55" i="84"/>
  <c r="F56" i="84"/>
  <c r="F57" i="84"/>
  <c r="F52" i="84"/>
  <c r="C59" i="84"/>
  <c r="C60" i="84"/>
  <c r="C61" i="84"/>
  <c r="C62" i="84"/>
  <c r="C63" i="84"/>
  <c r="C64" i="84"/>
  <c r="B60" i="84"/>
  <c r="B61" i="84"/>
  <c r="B62" i="84"/>
  <c r="B63" i="84"/>
  <c r="B64" i="84"/>
  <c r="B59" i="84"/>
  <c r="E57" i="84"/>
  <c r="D57" i="84"/>
  <c r="E56" i="84"/>
  <c r="D56" i="84"/>
  <c r="E55" i="84"/>
  <c r="D55" i="84"/>
  <c r="E53" i="84"/>
  <c r="D53" i="84"/>
  <c r="E52" i="84"/>
  <c r="D52" i="84"/>
  <c r="C52" i="84"/>
  <c r="C53" i="84"/>
  <c r="C54" i="84"/>
  <c r="C55" i="84"/>
  <c r="C56" i="84"/>
  <c r="C57" i="84"/>
  <c r="B53" i="84"/>
  <c r="B54" i="84"/>
  <c r="B55" i="84"/>
  <c r="B56" i="84"/>
  <c r="B57" i="84"/>
  <c r="B52" i="84"/>
  <c r="E44" i="84"/>
  <c r="D44" i="84"/>
  <c r="E43" i="84"/>
  <c r="D43" i="84"/>
  <c r="E42" i="84"/>
  <c r="D42" i="84"/>
  <c r="E41" i="84"/>
  <c r="D41" i="84"/>
  <c r="E40" i="84"/>
  <c r="D40" i="84"/>
  <c r="E39" i="84"/>
  <c r="D39" i="84"/>
  <c r="B40" i="84"/>
  <c r="B41" i="84"/>
  <c r="B42" i="84"/>
  <c r="B43" i="84"/>
  <c r="B44" i="84"/>
  <c r="B39" i="84"/>
  <c r="M37" i="84"/>
  <c r="L37" i="84"/>
  <c r="M36" i="84"/>
  <c r="L36" i="84"/>
  <c r="M35" i="84"/>
  <c r="L35" i="84"/>
  <c r="M34" i="84"/>
  <c r="L34" i="84"/>
  <c r="M33" i="84"/>
  <c r="L33" i="84"/>
  <c r="M32" i="84"/>
  <c r="L32" i="84"/>
  <c r="K32" i="84"/>
  <c r="K33" i="84"/>
  <c r="K34" i="84"/>
  <c r="K35" i="84"/>
  <c r="K36" i="84"/>
  <c r="K37" i="84"/>
  <c r="J33" i="84"/>
  <c r="J34" i="84"/>
  <c r="J35" i="84"/>
  <c r="J36" i="84"/>
  <c r="J37" i="84"/>
  <c r="J38" i="84"/>
  <c r="J32" i="84"/>
  <c r="I37" i="84"/>
  <c r="H37" i="84"/>
  <c r="I36" i="84"/>
  <c r="H36" i="84"/>
  <c r="I35" i="84"/>
  <c r="H35" i="84"/>
  <c r="I34" i="84"/>
  <c r="H34" i="84"/>
  <c r="I33" i="84"/>
  <c r="H33" i="84"/>
  <c r="I32" i="84"/>
  <c r="H32" i="84"/>
  <c r="G32" i="84"/>
  <c r="G33" i="84"/>
  <c r="G34" i="84"/>
  <c r="G35" i="84"/>
  <c r="G36" i="84"/>
  <c r="G37" i="84"/>
  <c r="F33" i="84"/>
  <c r="F34" i="84"/>
  <c r="F35" i="84"/>
  <c r="F36" i="84"/>
  <c r="F37" i="84"/>
  <c r="F32" i="84"/>
  <c r="E37" i="84"/>
  <c r="D37" i="84"/>
  <c r="E36" i="84"/>
  <c r="D36" i="84"/>
  <c r="E35" i="84"/>
  <c r="D35" i="84"/>
  <c r="E34" i="84"/>
  <c r="D34" i="84"/>
  <c r="E33" i="84"/>
  <c r="D33" i="84"/>
  <c r="E32" i="84"/>
  <c r="D32" i="84"/>
  <c r="B33" i="84"/>
  <c r="B34" i="84"/>
  <c r="B35" i="84"/>
  <c r="B36" i="84"/>
  <c r="B37" i="84"/>
  <c r="B32" i="84"/>
  <c r="M25" i="84"/>
  <c r="L25" i="84"/>
  <c r="M24" i="84"/>
  <c r="L24" i="84"/>
  <c r="M23" i="84"/>
  <c r="L23" i="84"/>
  <c r="M22" i="84"/>
  <c r="L22" i="84"/>
  <c r="M21" i="84"/>
  <c r="L21" i="84"/>
  <c r="M20" i="84"/>
  <c r="L20" i="84"/>
  <c r="K20" i="84"/>
  <c r="K21" i="84"/>
  <c r="K22" i="84"/>
  <c r="K23" i="84"/>
  <c r="K24" i="84"/>
  <c r="K25" i="84"/>
  <c r="J21" i="84"/>
  <c r="J22" i="84"/>
  <c r="J23" i="84"/>
  <c r="J24" i="84"/>
  <c r="J25" i="84"/>
  <c r="J20" i="84"/>
  <c r="M18" i="84"/>
  <c r="L18" i="84"/>
  <c r="M17" i="84"/>
  <c r="L17" i="84"/>
  <c r="M16" i="84"/>
  <c r="L16" i="84"/>
  <c r="M15" i="84"/>
  <c r="L15" i="84"/>
  <c r="M14" i="84"/>
  <c r="L14" i="84"/>
  <c r="M13" i="84"/>
  <c r="L13" i="84"/>
  <c r="K13" i="84"/>
  <c r="K14" i="84"/>
  <c r="K15" i="84"/>
  <c r="K16" i="84"/>
  <c r="K17" i="84"/>
  <c r="K18" i="84"/>
  <c r="J14" i="84"/>
  <c r="J15" i="84"/>
  <c r="J16" i="84"/>
  <c r="J17" i="84"/>
  <c r="J18" i="84"/>
  <c r="J13" i="84"/>
  <c r="I25" i="84"/>
  <c r="H25" i="84"/>
  <c r="I24" i="84"/>
  <c r="H24" i="84"/>
  <c r="I23" i="84"/>
  <c r="H23" i="84"/>
  <c r="I22" i="84"/>
  <c r="H22" i="84"/>
  <c r="I21" i="84"/>
  <c r="H21" i="84"/>
  <c r="I20" i="84"/>
  <c r="H20" i="84"/>
  <c r="G25" i="84"/>
  <c r="F21" i="84"/>
  <c r="F22" i="84"/>
  <c r="F23" i="84"/>
  <c r="F24" i="84"/>
  <c r="F25" i="84"/>
  <c r="F20" i="84"/>
  <c r="G13" i="84"/>
  <c r="H13" i="84"/>
  <c r="I13" i="84"/>
  <c r="H14" i="84"/>
  <c r="I14" i="84"/>
  <c r="H15" i="84"/>
  <c r="I15" i="84"/>
  <c r="G16" i="84"/>
  <c r="H16" i="84"/>
  <c r="I16" i="84"/>
  <c r="H17" i="84"/>
  <c r="I17" i="84"/>
  <c r="G18" i="84"/>
  <c r="H18" i="84"/>
  <c r="I18" i="84"/>
  <c r="F14" i="84"/>
  <c r="F15" i="84"/>
  <c r="F16" i="84"/>
  <c r="F17" i="84"/>
  <c r="F18" i="84"/>
  <c r="F13" i="84"/>
  <c r="E25" i="84"/>
  <c r="D25" i="84"/>
  <c r="E24" i="84"/>
  <c r="D24" i="84"/>
  <c r="E23" i="84"/>
  <c r="D23" i="84"/>
  <c r="E22" i="84"/>
  <c r="D22" i="84"/>
  <c r="E21" i="84"/>
  <c r="D21" i="84"/>
  <c r="E20" i="84"/>
  <c r="D20" i="84"/>
  <c r="C20" i="84"/>
  <c r="C21" i="84"/>
  <c r="C22" i="84"/>
  <c r="C23" i="84"/>
  <c r="C24" i="84"/>
  <c r="C25" i="84"/>
  <c r="B21" i="84"/>
  <c r="B22" i="84"/>
  <c r="B23" i="84"/>
  <c r="B24" i="84"/>
  <c r="B25" i="84"/>
  <c r="B20" i="84"/>
  <c r="E18" i="84"/>
  <c r="D18" i="84"/>
  <c r="E17" i="84"/>
  <c r="D17" i="84"/>
  <c r="E16" i="84"/>
  <c r="D16" i="84"/>
  <c r="E15" i="84"/>
  <c r="D15" i="84"/>
  <c r="E14" i="84"/>
  <c r="D14" i="84"/>
  <c r="E13" i="84"/>
  <c r="D13" i="84"/>
  <c r="C13" i="84"/>
  <c r="C14" i="84"/>
  <c r="C15" i="84"/>
  <c r="C16" i="84"/>
  <c r="C17" i="84"/>
  <c r="C18" i="84"/>
  <c r="B14" i="84"/>
  <c r="B15" i="84"/>
  <c r="B16" i="84"/>
  <c r="B17" i="84"/>
  <c r="B18" i="84"/>
  <c r="B13" i="84"/>
  <c r="H142" i="85" l="1"/>
  <c r="H135" i="85"/>
  <c r="L107" i="87"/>
  <c r="L111" i="87"/>
  <c r="M59" i="89"/>
  <c r="L59" i="89"/>
  <c r="K59" i="89"/>
  <c r="J59" i="89"/>
  <c r="I59" i="89"/>
  <c r="H59" i="89"/>
  <c r="G59" i="89"/>
  <c r="F59" i="89"/>
  <c r="E59" i="89"/>
  <c r="D59" i="89"/>
  <c r="C59" i="89"/>
  <c r="B59" i="89"/>
  <c r="M54" i="89"/>
  <c r="M53" i="89" s="1"/>
  <c r="M42" i="55" s="1"/>
  <c r="L54" i="89"/>
  <c r="K54" i="89"/>
  <c r="K53" i="89" s="1"/>
  <c r="K42" i="55" s="1"/>
  <c r="J54" i="89"/>
  <c r="J53" i="89" s="1"/>
  <c r="J42" i="55" s="1"/>
  <c r="M38" i="89"/>
  <c r="L38" i="89"/>
  <c r="K38" i="89"/>
  <c r="J38" i="89"/>
  <c r="I38" i="89"/>
  <c r="H38" i="89"/>
  <c r="G38" i="89"/>
  <c r="F38" i="89"/>
  <c r="E38" i="89"/>
  <c r="D38" i="89"/>
  <c r="C38" i="89"/>
  <c r="B38" i="89"/>
  <c r="M17" i="89"/>
  <c r="L17" i="89"/>
  <c r="K17" i="89"/>
  <c r="J17" i="89"/>
  <c r="I17" i="89"/>
  <c r="H17" i="89"/>
  <c r="F17" i="89"/>
  <c r="E17" i="89"/>
  <c r="D17" i="89"/>
  <c r="B17" i="89"/>
  <c r="G54" i="89"/>
  <c r="G53" i="89" s="1"/>
  <c r="G42" i="55" s="1"/>
  <c r="F54" i="89"/>
  <c r="F53" i="89" s="1"/>
  <c r="F42" i="55" s="1"/>
  <c r="E54" i="89"/>
  <c r="D54" i="89"/>
  <c r="C54" i="89"/>
  <c r="C53" i="89" s="1"/>
  <c r="C42" i="55" s="1"/>
  <c r="B54" i="89"/>
  <c r="M33" i="89"/>
  <c r="L33" i="89"/>
  <c r="K33" i="89"/>
  <c r="J33" i="89"/>
  <c r="I33" i="89"/>
  <c r="H33" i="89"/>
  <c r="G33" i="89"/>
  <c r="F33" i="89"/>
  <c r="E33" i="89"/>
  <c r="D33" i="89"/>
  <c r="B33" i="89"/>
  <c r="M12" i="89"/>
  <c r="L12" i="89"/>
  <c r="K12" i="89"/>
  <c r="J12" i="89"/>
  <c r="I12" i="89"/>
  <c r="H12" i="89"/>
  <c r="F12" i="89"/>
  <c r="E12" i="89"/>
  <c r="D12" i="89"/>
  <c r="B12" i="89"/>
  <c r="D75" i="88"/>
  <c r="E75" i="88"/>
  <c r="F75" i="88"/>
  <c r="G75" i="88"/>
  <c r="H75" i="88"/>
  <c r="I75" i="88"/>
  <c r="J75" i="88"/>
  <c r="K75" i="88"/>
  <c r="L75" i="88"/>
  <c r="M75" i="88"/>
  <c r="C75" i="88"/>
  <c r="B75" i="88"/>
  <c r="M80" i="88"/>
  <c r="L80" i="88"/>
  <c r="K80" i="88"/>
  <c r="J80" i="88"/>
  <c r="I80" i="88"/>
  <c r="H80" i="88"/>
  <c r="G80" i="88"/>
  <c r="F80" i="88"/>
  <c r="E80" i="88"/>
  <c r="D80" i="88"/>
  <c r="C80" i="88"/>
  <c r="B80" i="88"/>
  <c r="M54" i="88"/>
  <c r="L54" i="88"/>
  <c r="K54" i="88"/>
  <c r="J54" i="88"/>
  <c r="I54" i="88"/>
  <c r="H54" i="88"/>
  <c r="G54" i="88"/>
  <c r="F54" i="88"/>
  <c r="E54" i="88"/>
  <c r="D54" i="88"/>
  <c r="B54" i="88"/>
  <c r="M49" i="88"/>
  <c r="L49" i="88"/>
  <c r="K49" i="88"/>
  <c r="J49" i="88"/>
  <c r="I49" i="88"/>
  <c r="H49" i="88"/>
  <c r="G49" i="88"/>
  <c r="F49" i="88"/>
  <c r="E49" i="88"/>
  <c r="D49" i="88"/>
  <c r="B49" i="88"/>
  <c r="M28" i="88"/>
  <c r="L28" i="88"/>
  <c r="K28" i="88"/>
  <c r="J28" i="88"/>
  <c r="I28" i="88"/>
  <c r="H28" i="88"/>
  <c r="F28" i="88"/>
  <c r="E28" i="88"/>
  <c r="D28" i="88"/>
  <c r="B28" i="88"/>
  <c r="M23" i="88"/>
  <c r="L23" i="88"/>
  <c r="K23" i="88"/>
  <c r="J23" i="88"/>
  <c r="F23" i="88"/>
  <c r="E23" i="88"/>
  <c r="D23" i="88"/>
  <c r="B23" i="88"/>
  <c r="M64" i="88"/>
  <c r="L64" i="88"/>
  <c r="K64" i="88"/>
  <c r="J64" i="88"/>
  <c r="I64" i="88"/>
  <c r="H64" i="88"/>
  <c r="G64" i="88"/>
  <c r="F64" i="88"/>
  <c r="E64" i="88"/>
  <c r="D64" i="88"/>
  <c r="D63" i="88" s="1"/>
  <c r="C64" i="88"/>
  <c r="B64" i="88"/>
  <c r="B63" i="88" s="1"/>
  <c r="B41" i="55" s="1"/>
  <c r="M38" i="88"/>
  <c r="L38" i="88"/>
  <c r="K38" i="88"/>
  <c r="J38" i="88"/>
  <c r="I38" i="88"/>
  <c r="H38" i="88"/>
  <c r="F38" i="88"/>
  <c r="E38" i="88"/>
  <c r="D38" i="88"/>
  <c r="B38" i="88"/>
  <c r="M12" i="88"/>
  <c r="L12" i="88"/>
  <c r="K12" i="88"/>
  <c r="J12" i="88"/>
  <c r="I12" i="88"/>
  <c r="H12" i="88"/>
  <c r="F12" i="88"/>
  <c r="E12" i="88"/>
  <c r="D12" i="88"/>
  <c r="B12" i="88"/>
  <c r="E124" i="87"/>
  <c r="D124" i="87"/>
  <c r="C124" i="87"/>
  <c r="C118" i="87" s="1"/>
  <c r="B124" i="87"/>
  <c r="B118" i="87" s="1"/>
  <c r="E111" i="87"/>
  <c r="D111" i="87"/>
  <c r="C111" i="87"/>
  <c r="B111" i="87"/>
  <c r="D92" i="87"/>
  <c r="E92" i="87"/>
  <c r="F92" i="87"/>
  <c r="G92" i="87"/>
  <c r="H92" i="87"/>
  <c r="I92" i="87"/>
  <c r="J92" i="87"/>
  <c r="K92" i="87"/>
  <c r="L92" i="87"/>
  <c r="M92" i="87"/>
  <c r="C92" i="87"/>
  <c r="B92" i="87"/>
  <c r="D86" i="87"/>
  <c r="E86" i="87"/>
  <c r="F86" i="87"/>
  <c r="G86" i="87"/>
  <c r="H86" i="87"/>
  <c r="I86" i="87"/>
  <c r="J86" i="87"/>
  <c r="K86" i="87"/>
  <c r="L86" i="87"/>
  <c r="M86" i="87"/>
  <c r="C86" i="87"/>
  <c r="B86" i="87"/>
  <c r="D79" i="87"/>
  <c r="E79" i="87"/>
  <c r="F79" i="87"/>
  <c r="G79" i="87"/>
  <c r="H79" i="87"/>
  <c r="I79" i="87"/>
  <c r="J79" i="87"/>
  <c r="K79" i="87"/>
  <c r="L79" i="87"/>
  <c r="M79" i="87"/>
  <c r="C79" i="87"/>
  <c r="B79" i="87"/>
  <c r="F75" i="87"/>
  <c r="G75" i="87"/>
  <c r="H75" i="87"/>
  <c r="I75" i="87"/>
  <c r="M75" i="87"/>
  <c r="L75" i="87"/>
  <c r="K75" i="87"/>
  <c r="J75" i="87"/>
  <c r="E75" i="87"/>
  <c r="D75" i="87"/>
  <c r="C75" i="87"/>
  <c r="C74" i="87" s="1"/>
  <c r="C40" i="55" s="1"/>
  <c r="B75" i="87"/>
  <c r="M61" i="87"/>
  <c r="L61" i="87"/>
  <c r="K61" i="87"/>
  <c r="J61" i="87"/>
  <c r="I61" i="87"/>
  <c r="H61" i="87"/>
  <c r="G61" i="87"/>
  <c r="F61" i="87"/>
  <c r="E61" i="87"/>
  <c r="D61" i="87"/>
  <c r="B61" i="87"/>
  <c r="D55" i="87"/>
  <c r="M55" i="87"/>
  <c r="L55" i="87"/>
  <c r="K55" i="87"/>
  <c r="J55" i="87"/>
  <c r="I55" i="87"/>
  <c r="H55" i="87"/>
  <c r="G55" i="87"/>
  <c r="F55" i="87"/>
  <c r="E55" i="87"/>
  <c r="B55" i="87"/>
  <c r="D48" i="87"/>
  <c r="M48" i="87"/>
  <c r="L48" i="87"/>
  <c r="K48" i="87"/>
  <c r="J48" i="87"/>
  <c r="I48" i="87"/>
  <c r="H48" i="87"/>
  <c r="G48" i="87"/>
  <c r="F48" i="87"/>
  <c r="E48" i="87"/>
  <c r="B48" i="87"/>
  <c r="M44" i="87"/>
  <c r="L44" i="87"/>
  <c r="K44" i="87"/>
  <c r="J44" i="87"/>
  <c r="I44" i="87"/>
  <c r="H44" i="87"/>
  <c r="G44" i="87"/>
  <c r="F44" i="87"/>
  <c r="E44" i="87"/>
  <c r="D44" i="87"/>
  <c r="B44" i="87"/>
  <c r="L30" i="87"/>
  <c r="K30" i="87"/>
  <c r="J30" i="87"/>
  <c r="F30" i="87"/>
  <c r="E30" i="87"/>
  <c r="D30" i="87"/>
  <c r="B30" i="87"/>
  <c r="M24" i="87"/>
  <c r="L24" i="87"/>
  <c r="K24" i="87"/>
  <c r="J24" i="87"/>
  <c r="I24" i="87"/>
  <c r="H24" i="87"/>
  <c r="F24" i="87"/>
  <c r="E24" i="87"/>
  <c r="D24" i="87"/>
  <c r="B24" i="87"/>
  <c r="I17" i="87"/>
  <c r="H17" i="87"/>
  <c r="M17" i="87"/>
  <c r="K17" i="87"/>
  <c r="J17" i="87"/>
  <c r="F17" i="87"/>
  <c r="E17" i="87"/>
  <c r="D17" i="87"/>
  <c r="B17" i="87"/>
  <c r="M13" i="87"/>
  <c r="L13" i="87"/>
  <c r="K13" i="87"/>
  <c r="J13" i="87"/>
  <c r="I13" i="87"/>
  <c r="H13" i="87"/>
  <c r="F13" i="87"/>
  <c r="E13" i="87"/>
  <c r="D13" i="87"/>
  <c r="B13" i="87"/>
  <c r="H185" i="86"/>
  <c r="H184" i="86" s="1"/>
  <c r="F185" i="86"/>
  <c r="F184" i="86" s="1"/>
  <c r="H183" i="86"/>
  <c r="F183" i="86"/>
  <c r="H176" i="86"/>
  <c r="H177" i="86"/>
  <c r="H178" i="86"/>
  <c r="H179" i="86"/>
  <c r="H180" i="86"/>
  <c r="H181" i="86"/>
  <c r="H182" i="86"/>
  <c r="H175" i="86"/>
  <c r="H173" i="86"/>
  <c r="F173" i="86"/>
  <c r="H166" i="86"/>
  <c r="H167" i="86"/>
  <c r="H168" i="86"/>
  <c r="H169" i="86"/>
  <c r="H170" i="86"/>
  <c r="H171" i="86"/>
  <c r="H172" i="86"/>
  <c r="H157" i="86"/>
  <c r="H158" i="86"/>
  <c r="H159" i="86"/>
  <c r="H160" i="86"/>
  <c r="H161" i="86"/>
  <c r="H162" i="86"/>
  <c r="H163" i="86"/>
  <c r="H164" i="86"/>
  <c r="D90" i="86"/>
  <c r="E90" i="86"/>
  <c r="F90" i="86"/>
  <c r="G90" i="86"/>
  <c r="H90" i="86"/>
  <c r="I90" i="86"/>
  <c r="J90" i="86"/>
  <c r="K90" i="86"/>
  <c r="L90" i="86"/>
  <c r="M90" i="86"/>
  <c r="C90" i="86"/>
  <c r="B90" i="86"/>
  <c r="M111" i="86"/>
  <c r="L111" i="86"/>
  <c r="K111" i="86"/>
  <c r="J111" i="86"/>
  <c r="M120" i="86"/>
  <c r="L120" i="86"/>
  <c r="K120" i="86"/>
  <c r="J120" i="86"/>
  <c r="I120" i="86"/>
  <c r="H120" i="86"/>
  <c r="G120" i="86"/>
  <c r="F120" i="86"/>
  <c r="E120" i="86"/>
  <c r="D120" i="86"/>
  <c r="C120" i="86"/>
  <c r="B120" i="86"/>
  <c r="M129" i="86"/>
  <c r="L129" i="86"/>
  <c r="K129" i="86"/>
  <c r="J129" i="86"/>
  <c r="I129" i="86"/>
  <c r="H129" i="86"/>
  <c r="G129" i="86"/>
  <c r="F129" i="86"/>
  <c r="E129" i="86"/>
  <c r="D129" i="86"/>
  <c r="C129" i="86"/>
  <c r="B129" i="86"/>
  <c r="I111" i="86"/>
  <c r="H111" i="86"/>
  <c r="G111" i="86"/>
  <c r="F111" i="86"/>
  <c r="E111" i="86"/>
  <c r="D111" i="86"/>
  <c r="C111" i="86"/>
  <c r="B111" i="86"/>
  <c r="M81" i="86"/>
  <c r="L81" i="86"/>
  <c r="K81" i="86"/>
  <c r="J81" i="86"/>
  <c r="G81" i="86"/>
  <c r="I81" i="86"/>
  <c r="H81" i="86"/>
  <c r="F81" i="86"/>
  <c r="E81" i="86"/>
  <c r="D81" i="86"/>
  <c r="B81" i="86"/>
  <c r="M73" i="86"/>
  <c r="L73" i="86"/>
  <c r="K73" i="86"/>
  <c r="J73" i="86"/>
  <c r="I73" i="86"/>
  <c r="H73" i="86"/>
  <c r="G73" i="86"/>
  <c r="F73" i="86"/>
  <c r="E73" i="86"/>
  <c r="D73" i="86"/>
  <c r="B73" i="86"/>
  <c r="M64" i="86"/>
  <c r="L64" i="86"/>
  <c r="K64" i="86"/>
  <c r="J64" i="86"/>
  <c r="I64" i="86"/>
  <c r="H64" i="86"/>
  <c r="G64" i="86"/>
  <c r="F64" i="86"/>
  <c r="E64" i="86"/>
  <c r="D64" i="86"/>
  <c r="B64" i="86"/>
  <c r="M40" i="86"/>
  <c r="L40" i="86"/>
  <c r="K40" i="86"/>
  <c r="J40" i="86"/>
  <c r="I40" i="86"/>
  <c r="H40" i="86"/>
  <c r="F40" i="86"/>
  <c r="E40" i="86"/>
  <c r="D40" i="86"/>
  <c r="B40" i="86"/>
  <c r="M32" i="86"/>
  <c r="L32" i="86"/>
  <c r="K32" i="86"/>
  <c r="J32" i="86"/>
  <c r="I32" i="86"/>
  <c r="H32" i="86"/>
  <c r="F32" i="86"/>
  <c r="E32" i="86"/>
  <c r="D32" i="86"/>
  <c r="B32" i="86"/>
  <c r="M23" i="86"/>
  <c r="L23" i="86"/>
  <c r="I23" i="86"/>
  <c r="H23" i="86"/>
  <c r="F23" i="86"/>
  <c r="E23" i="86"/>
  <c r="D23" i="86"/>
  <c r="B23" i="86"/>
  <c r="M101" i="86"/>
  <c r="L101" i="86"/>
  <c r="K101" i="86"/>
  <c r="J101" i="86"/>
  <c r="I101" i="86"/>
  <c r="H101" i="86"/>
  <c r="G101" i="86"/>
  <c r="F101" i="86"/>
  <c r="E101" i="86"/>
  <c r="D101" i="86"/>
  <c r="C101" i="86"/>
  <c r="B101" i="86"/>
  <c r="M54" i="86"/>
  <c r="L54" i="86"/>
  <c r="K54" i="86"/>
  <c r="J54" i="86"/>
  <c r="I54" i="86"/>
  <c r="H54" i="86"/>
  <c r="G54" i="86"/>
  <c r="F54" i="86"/>
  <c r="E54" i="86"/>
  <c r="D54" i="86"/>
  <c r="B54" i="86"/>
  <c r="K13" i="86"/>
  <c r="J13" i="86"/>
  <c r="I13" i="86"/>
  <c r="H13" i="86"/>
  <c r="F13" i="86"/>
  <c r="E13" i="86"/>
  <c r="D13" i="86"/>
  <c r="B13" i="86"/>
  <c r="F147" i="85"/>
  <c r="H128" i="85"/>
  <c r="H129" i="85"/>
  <c r="H130" i="85"/>
  <c r="H131" i="85"/>
  <c r="H132" i="85"/>
  <c r="H133" i="85"/>
  <c r="H134" i="85"/>
  <c r="M32" i="89" l="1"/>
  <c r="M30" i="55" s="1"/>
  <c r="L37" i="88"/>
  <c r="L29" i="55" s="1"/>
  <c r="E32" i="89"/>
  <c r="E30" i="55" s="1"/>
  <c r="M11" i="88"/>
  <c r="M17" i="55" s="1"/>
  <c r="B74" i="87"/>
  <c r="B40" i="55" s="1"/>
  <c r="J37" i="88"/>
  <c r="J29" i="55" s="1"/>
  <c r="I32" i="89"/>
  <c r="I30" i="55" s="1"/>
  <c r="K53" i="86"/>
  <c r="K27" i="55" s="1"/>
  <c r="G100" i="86"/>
  <c r="G39" i="55" s="1"/>
  <c r="K100" i="86"/>
  <c r="K39" i="55" s="1"/>
  <c r="J74" i="87"/>
  <c r="J40" i="55" s="1"/>
  <c r="B106" i="87"/>
  <c r="C106" i="87"/>
  <c r="H174" i="86"/>
  <c r="B43" i="87"/>
  <c r="B28" i="55" s="1"/>
  <c r="B32" i="89"/>
  <c r="B30" i="55" s="1"/>
  <c r="F11" i="89"/>
  <c r="F18" i="55" s="1"/>
  <c r="K11" i="89"/>
  <c r="K18" i="55" s="1"/>
  <c r="F37" i="88"/>
  <c r="F29" i="55" s="1"/>
  <c r="F74" i="87"/>
  <c r="F40" i="55" s="1"/>
  <c r="J12" i="86"/>
  <c r="J15" i="55" s="1"/>
  <c r="H165" i="86"/>
  <c r="H156" i="86"/>
  <c r="G74" i="87"/>
  <c r="G40" i="55" s="1"/>
  <c r="E106" i="87"/>
  <c r="E66" i="55" s="1"/>
  <c r="E61" i="55" s="1"/>
  <c r="J43" i="87"/>
  <c r="J28" i="55" s="1"/>
  <c r="M74" i="87"/>
  <c r="M40" i="55" s="1"/>
  <c r="K43" i="87"/>
  <c r="K28" i="55" s="1"/>
  <c r="K74" i="87"/>
  <c r="K40" i="55" s="1"/>
  <c r="D106" i="87"/>
  <c r="D66" i="55" s="1"/>
  <c r="D61" i="55" s="1"/>
  <c r="K11" i="88"/>
  <c r="K17" i="55" s="1"/>
  <c r="L53" i="89"/>
  <c r="L42" i="55" s="1"/>
  <c r="L74" i="87"/>
  <c r="L40" i="55" s="1"/>
  <c r="F63" i="88"/>
  <c r="F41" i="55" s="1"/>
  <c r="J63" i="88"/>
  <c r="J41" i="55" s="1"/>
  <c r="B53" i="89"/>
  <c r="B42" i="55" s="1"/>
  <c r="J53" i="86"/>
  <c r="J27" i="55" s="1"/>
  <c r="C63" i="88"/>
  <c r="C41" i="55" s="1"/>
  <c r="D37" i="88"/>
  <c r="D29" i="55" s="1"/>
  <c r="E11" i="89"/>
  <c r="E18" i="55" s="1"/>
  <c r="M11" i="89"/>
  <c r="M18" i="55" s="1"/>
  <c r="F100" i="86"/>
  <c r="F39" i="55" s="1"/>
  <c r="H37" i="88"/>
  <c r="H29" i="55" s="1"/>
  <c r="I43" i="87"/>
  <c r="I28" i="55" s="1"/>
  <c r="I11" i="89"/>
  <c r="I18" i="55" s="1"/>
  <c r="H12" i="86"/>
  <c r="H15" i="55" s="1"/>
  <c r="G43" i="87"/>
  <c r="G28" i="55" s="1"/>
  <c r="G32" i="89"/>
  <c r="G30" i="55" s="1"/>
  <c r="K32" i="89"/>
  <c r="K30" i="55" s="1"/>
  <c r="D11" i="89"/>
  <c r="D18" i="55" s="1"/>
  <c r="I74" i="87"/>
  <c r="I40" i="55" s="1"/>
  <c r="H74" i="87"/>
  <c r="H40" i="55" s="1"/>
  <c r="E43" i="87"/>
  <c r="E28" i="55" s="1"/>
  <c r="E11" i="88"/>
  <c r="E17" i="55" s="1"/>
  <c r="E12" i="87"/>
  <c r="E16" i="55" s="1"/>
  <c r="E53" i="89"/>
  <c r="E42" i="55" s="1"/>
  <c r="F32" i="89"/>
  <c r="F30" i="55" s="1"/>
  <c r="H32" i="89"/>
  <c r="H30" i="55" s="1"/>
  <c r="J32" i="89"/>
  <c r="J30" i="55" s="1"/>
  <c r="L32" i="89"/>
  <c r="L30" i="55" s="1"/>
  <c r="D32" i="89"/>
  <c r="D30" i="55" s="1"/>
  <c r="B11" i="89"/>
  <c r="B18" i="55" s="1"/>
  <c r="H11" i="89"/>
  <c r="H18" i="55" s="1"/>
  <c r="J11" i="89"/>
  <c r="J18" i="55" s="1"/>
  <c r="L11" i="89"/>
  <c r="L18" i="55" s="1"/>
  <c r="L63" i="88"/>
  <c r="L41" i="55" s="1"/>
  <c r="H63" i="88"/>
  <c r="H41" i="55" s="1"/>
  <c r="D41" i="55"/>
  <c r="B11" i="88"/>
  <c r="B17" i="55" s="1"/>
  <c r="M43" i="87"/>
  <c r="M28" i="55" s="1"/>
  <c r="E74" i="87"/>
  <c r="E40" i="55" s="1"/>
  <c r="L43" i="87"/>
  <c r="L28" i="55" s="1"/>
  <c r="H43" i="87"/>
  <c r="H28" i="55" s="1"/>
  <c r="F43" i="87"/>
  <c r="F28" i="55" s="1"/>
  <c r="F12" i="87"/>
  <c r="F16" i="55" s="1"/>
  <c r="K12" i="87"/>
  <c r="K16" i="55" s="1"/>
  <c r="B12" i="87"/>
  <c r="B16" i="55" s="1"/>
  <c r="D74" i="87"/>
  <c r="D40" i="55" s="1"/>
  <c r="D43" i="87"/>
  <c r="D28" i="55" s="1"/>
  <c r="J12" i="87"/>
  <c r="J16" i="55" s="1"/>
  <c r="D12" i="87"/>
  <c r="D16" i="55" s="1"/>
  <c r="M100" i="86"/>
  <c r="M39" i="55" s="1"/>
  <c r="E12" i="86"/>
  <c r="E15" i="55" s="1"/>
  <c r="L53" i="86"/>
  <c r="L27" i="55" s="1"/>
  <c r="H53" i="86"/>
  <c r="H27" i="55" s="1"/>
  <c r="F53" i="86"/>
  <c r="F27" i="55" s="1"/>
  <c r="D53" i="86"/>
  <c r="D27" i="55" s="1"/>
  <c r="K12" i="86"/>
  <c r="K15" i="55" s="1"/>
  <c r="I12" i="86"/>
  <c r="I15" i="55" s="1"/>
  <c r="F12" i="86"/>
  <c r="F15" i="55" s="1"/>
  <c r="D12" i="86"/>
  <c r="D15" i="55" s="1"/>
  <c r="B12" i="86"/>
  <c r="B15" i="55" s="1"/>
  <c r="I100" i="86"/>
  <c r="I39" i="55" s="1"/>
  <c r="M53" i="86"/>
  <c r="M27" i="55" s="1"/>
  <c r="I53" i="86"/>
  <c r="I27" i="55" s="1"/>
  <c r="G53" i="86"/>
  <c r="G27" i="55" s="1"/>
  <c r="E53" i="86"/>
  <c r="E27" i="55" s="1"/>
  <c r="H100" i="86"/>
  <c r="H39" i="55" s="1"/>
  <c r="B53" i="86"/>
  <c r="B27" i="55" s="1"/>
  <c r="D53" i="89"/>
  <c r="D42" i="55" s="1"/>
  <c r="D11" i="88"/>
  <c r="D17" i="55" s="1"/>
  <c r="F11" i="88"/>
  <c r="F17" i="55" s="1"/>
  <c r="H11" i="88"/>
  <c r="H17" i="55" s="1"/>
  <c r="J11" i="88"/>
  <c r="J17" i="55" s="1"/>
  <c r="L11" i="88"/>
  <c r="L17" i="55" s="1"/>
  <c r="B37" i="88"/>
  <c r="B29" i="55" s="1"/>
  <c r="E37" i="88"/>
  <c r="E29" i="55" s="1"/>
  <c r="I37" i="88"/>
  <c r="I29" i="55" s="1"/>
  <c r="K37" i="88"/>
  <c r="K29" i="55" s="1"/>
  <c r="M37" i="88"/>
  <c r="M29" i="55" s="1"/>
  <c r="E63" i="88"/>
  <c r="E41" i="55" s="1"/>
  <c r="G63" i="88"/>
  <c r="G41" i="55" s="1"/>
  <c r="I63" i="88"/>
  <c r="I41" i="55" s="1"/>
  <c r="K63" i="88"/>
  <c r="K41" i="55" s="1"/>
  <c r="M63" i="88"/>
  <c r="M41" i="55" s="1"/>
  <c r="H90" i="88"/>
  <c r="H106" i="88"/>
  <c r="L100" i="86"/>
  <c r="L39" i="55" s="1"/>
  <c r="J100" i="86"/>
  <c r="J39" i="55" s="1"/>
  <c r="B100" i="86"/>
  <c r="B39" i="55" s="1"/>
  <c r="D100" i="86"/>
  <c r="D39" i="55" s="1"/>
  <c r="C100" i="86"/>
  <c r="C39" i="55" s="1"/>
  <c r="E100" i="86"/>
  <c r="E39" i="55" s="1"/>
  <c r="H126" i="85"/>
  <c r="F126" i="85"/>
  <c r="H127" i="85"/>
  <c r="H120" i="85"/>
  <c r="H121" i="85"/>
  <c r="H122" i="85"/>
  <c r="H123" i="85"/>
  <c r="H124" i="85"/>
  <c r="H125" i="85"/>
  <c r="F111" i="85"/>
  <c r="G111" i="85"/>
  <c r="H111" i="85"/>
  <c r="I111" i="85"/>
  <c r="J111" i="85"/>
  <c r="K111" i="85"/>
  <c r="L111" i="85"/>
  <c r="M111" i="85"/>
  <c r="J105" i="85"/>
  <c r="K105" i="85"/>
  <c r="L105" i="85"/>
  <c r="M105" i="85"/>
  <c r="J82" i="85"/>
  <c r="K82" i="85"/>
  <c r="L82" i="85"/>
  <c r="M82" i="85"/>
  <c r="F90" i="85"/>
  <c r="G90" i="85"/>
  <c r="H90" i="85"/>
  <c r="I90" i="85"/>
  <c r="J90" i="85"/>
  <c r="K90" i="85"/>
  <c r="L90" i="85"/>
  <c r="M90" i="85"/>
  <c r="M98" i="85"/>
  <c r="L98" i="85"/>
  <c r="K98" i="85"/>
  <c r="J98" i="85"/>
  <c r="E111" i="85"/>
  <c r="D111" i="85"/>
  <c r="C111" i="85"/>
  <c r="B111" i="85"/>
  <c r="I98" i="85"/>
  <c r="H98" i="85"/>
  <c r="G98" i="85"/>
  <c r="F98" i="85"/>
  <c r="I105" i="85"/>
  <c r="H105" i="85"/>
  <c r="G105" i="85"/>
  <c r="F105" i="85"/>
  <c r="E105" i="85"/>
  <c r="D105" i="85"/>
  <c r="C105" i="85"/>
  <c r="B105" i="85"/>
  <c r="E98" i="85"/>
  <c r="D98" i="85"/>
  <c r="C98" i="85"/>
  <c r="B98" i="85"/>
  <c r="E90" i="85"/>
  <c r="D90" i="85"/>
  <c r="C90" i="85"/>
  <c r="B90" i="85"/>
  <c r="I82" i="85"/>
  <c r="H82" i="85"/>
  <c r="G82" i="85"/>
  <c r="G81" i="85" s="1"/>
  <c r="K38" i="55" s="1"/>
  <c r="F82" i="85"/>
  <c r="E82" i="85"/>
  <c r="E81" i="85" s="1"/>
  <c r="E38" i="55" s="1"/>
  <c r="D82" i="85"/>
  <c r="C82" i="85"/>
  <c r="B82" i="85"/>
  <c r="B81" i="85" s="1"/>
  <c r="B38" i="55" s="1"/>
  <c r="K74" i="85"/>
  <c r="J74" i="85"/>
  <c r="M69" i="85"/>
  <c r="L69" i="85"/>
  <c r="K69" i="85"/>
  <c r="J69" i="85"/>
  <c r="M62" i="85"/>
  <c r="L62" i="85"/>
  <c r="K62" i="85"/>
  <c r="J62" i="85"/>
  <c r="M54" i="85"/>
  <c r="L54" i="85"/>
  <c r="K54" i="85"/>
  <c r="J54" i="85"/>
  <c r="F74" i="85"/>
  <c r="G74" i="85"/>
  <c r="H74" i="85"/>
  <c r="I74" i="85"/>
  <c r="F54" i="85"/>
  <c r="G54" i="85"/>
  <c r="H54" i="85"/>
  <c r="I54" i="85"/>
  <c r="I69" i="85"/>
  <c r="H69" i="85"/>
  <c r="G69" i="85"/>
  <c r="F69" i="85"/>
  <c r="I62" i="85"/>
  <c r="H62" i="85"/>
  <c r="G62" i="85"/>
  <c r="F62" i="85"/>
  <c r="E74" i="85"/>
  <c r="D74" i="85"/>
  <c r="C74" i="85"/>
  <c r="B74" i="85"/>
  <c r="E69" i="85"/>
  <c r="D69" i="85"/>
  <c r="C69" i="85"/>
  <c r="B69" i="85"/>
  <c r="E62" i="85"/>
  <c r="D62" i="85"/>
  <c r="C62" i="85"/>
  <c r="B62" i="85"/>
  <c r="E54" i="85"/>
  <c r="D54" i="85"/>
  <c r="C54" i="85"/>
  <c r="B54" i="85"/>
  <c r="M40" i="85"/>
  <c r="L40" i="85"/>
  <c r="K40" i="85"/>
  <c r="J40" i="85"/>
  <c r="I40" i="85"/>
  <c r="H40" i="85"/>
  <c r="F40" i="85"/>
  <c r="E40" i="85"/>
  <c r="D40" i="85"/>
  <c r="B40" i="85"/>
  <c r="M35" i="85"/>
  <c r="L35" i="85"/>
  <c r="K35" i="85"/>
  <c r="J35" i="85"/>
  <c r="I35" i="85"/>
  <c r="H35" i="85"/>
  <c r="F35" i="85"/>
  <c r="E35" i="85"/>
  <c r="D35" i="85"/>
  <c r="B35" i="85"/>
  <c r="M28" i="85"/>
  <c r="L28" i="85"/>
  <c r="K28" i="85"/>
  <c r="J28" i="85"/>
  <c r="I28" i="85"/>
  <c r="H28" i="85"/>
  <c r="F28" i="85"/>
  <c r="E28" i="85"/>
  <c r="D28" i="85"/>
  <c r="B28" i="85"/>
  <c r="M20" i="85"/>
  <c r="L20" i="85"/>
  <c r="K20" i="85"/>
  <c r="J20" i="85"/>
  <c r="I20" i="85"/>
  <c r="H20" i="85"/>
  <c r="F20" i="85"/>
  <c r="E20" i="85"/>
  <c r="D20" i="85"/>
  <c r="B20" i="85"/>
  <c r="B47" i="85"/>
  <c r="D47" i="85"/>
  <c r="E47" i="85"/>
  <c r="F47" i="85"/>
  <c r="G47" i="85"/>
  <c r="H47" i="85"/>
  <c r="I47" i="85"/>
  <c r="J47" i="85"/>
  <c r="K47" i="85"/>
  <c r="K46" i="85" s="1"/>
  <c r="K26" i="55" s="1"/>
  <c r="L47" i="85"/>
  <c r="M47" i="85"/>
  <c r="M13" i="85"/>
  <c r="L13" i="85"/>
  <c r="K13" i="85"/>
  <c r="J13" i="85"/>
  <c r="I13" i="85"/>
  <c r="H13" i="85"/>
  <c r="F13" i="85"/>
  <c r="E13" i="85"/>
  <c r="D13" i="85"/>
  <c r="B13" i="85"/>
  <c r="L57" i="84"/>
  <c r="L56" i="84"/>
  <c r="L55" i="84"/>
  <c r="L53" i="84"/>
  <c r="L52" i="84"/>
  <c r="L64" i="84"/>
  <c r="L63" i="84"/>
  <c r="L62" i="84"/>
  <c r="L61" i="84"/>
  <c r="L59" i="84"/>
  <c r="I58" i="84"/>
  <c r="H58" i="84"/>
  <c r="G58" i="84"/>
  <c r="G50" i="84" s="1"/>
  <c r="C49" i="55" s="1"/>
  <c r="F58" i="84"/>
  <c r="F50" i="84" s="1"/>
  <c r="B49" i="55" s="1"/>
  <c r="I38" i="84"/>
  <c r="H38" i="84"/>
  <c r="G38" i="84"/>
  <c r="F38" i="84"/>
  <c r="C58" i="84"/>
  <c r="B58" i="84"/>
  <c r="M38" i="84"/>
  <c r="L38" i="84"/>
  <c r="K38" i="84"/>
  <c r="E38" i="84"/>
  <c r="D38" i="84"/>
  <c r="B38" i="84"/>
  <c r="M19" i="84"/>
  <c r="L19" i="84"/>
  <c r="K19" i="84"/>
  <c r="J19" i="84"/>
  <c r="I19" i="84"/>
  <c r="H19" i="84"/>
  <c r="F19" i="84"/>
  <c r="E19" i="84"/>
  <c r="D19" i="84"/>
  <c r="C19" i="84"/>
  <c r="B19" i="84"/>
  <c r="I51" i="84"/>
  <c r="H51" i="84"/>
  <c r="C51" i="84"/>
  <c r="B51" i="84"/>
  <c r="M31" i="84"/>
  <c r="L31" i="84"/>
  <c r="K31" i="84"/>
  <c r="J31" i="84"/>
  <c r="J30" i="84" s="1"/>
  <c r="J25" i="55" s="1"/>
  <c r="H31" i="84"/>
  <c r="G31" i="84"/>
  <c r="F31" i="84"/>
  <c r="E31" i="84"/>
  <c r="D31" i="84"/>
  <c r="B31" i="84"/>
  <c r="M12" i="84"/>
  <c r="L12" i="84"/>
  <c r="K12" i="84"/>
  <c r="J12" i="84"/>
  <c r="I12" i="84"/>
  <c r="H12" i="84"/>
  <c r="F12" i="84"/>
  <c r="E12" i="84"/>
  <c r="D12" i="84"/>
  <c r="C12" i="84"/>
  <c r="B12" i="84"/>
  <c r="F81" i="85" l="1"/>
  <c r="J38" i="55" s="1"/>
  <c r="F30" i="84"/>
  <c r="F25" i="55" s="1"/>
  <c r="G30" i="84"/>
  <c r="G25" i="55" s="1"/>
  <c r="C81" i="85"/>
  <c r="C38" i="55" s="1"/>
  <c r="L81" i="85"/>
  <c r="H38" i="55" s="1"/>
  <c r="I50" i="84"/>
  <c r="E49" i="55" s="1"/>
  <c r="M81" i="85"/>
  <c r="I38" i="55" s="1"/>
  <c r="H81" i="85"/>
  <c r="L38" i="55" s="1"/>
  <c r="E11" i="84"/>
  <c r="E13" i="55" s="1"/>
  <c r="B11" i="84"/>
  <c r="B13" i="55" s="1"/>
  <c r="K11" i="84"/>
  <c r="K13" i="55" s="1"/>
  <c r="M11" i="84"/>
  <c r="M13" i="55" s="1"/>
  <c r="D30" i="84"/>
  <c r="D25" i="55" s="1"/>
  <c r="C50" i="84"/>
  <c r="C37" i="55" s="1"/>
  <c r="E30" i="84"/>
  <c r="E25" i="55" s="1"/>
  <c r="B50" i="84"/>
  <c r="B37" i="55" s="1"/>
  <c r="H50" i="84"/>
  <c r="D49" i="55" s="1"/>
  <c r="H30" i="84"/>
  <c r="H25" i="55" s="1"/>
  <c r="B30" i="84"/>
  <c r="B25" i="55" s="1"/>
  <c r="J81" i="85"/>
  <c r="F38" i="55" s="1"/>
  <c r="M30" i="84"/>
  <c r="M25" i="55" s="1"/>
  <c r="K81" i="85"/>
  <c r="G38" i="55" s="1"/>
  <c r="E46" i="85"/>
  <c r="E26" i="55" s="1"/>
  <c r="D81" i="85"/>
  <c r="D38" i="55" s="1"/>
  <c r="I11" i="84"/>
  <c r="I13" i="55" s="1"/>
  <c r="I81" i="85"/>
  <c r="M38" i="55" s="1"/>
  <c r="H119" i="85"/>
  <c r="L30" i="84"/>
  <c r="L25" i="55" s="1"/>
  <c r="K30" i="84"/>
  <c r="K25" i="55" s="1"/>
  <c r="L11" i="84"/>
  <c r="L13" i="55" s="1"/>
  <c r="J11" i="84"/>
  <c r="J13" i="55" s="1"/>
  <c r="H11" i="84"/>
  <c r="H13" i="55" s="1"/>
  <c r="F11" i="84"/>
  <c r="F13" i="55" s="1"/>
  <c r="D11" i="84"/>
  <c r="D13" i="55" s="1"/>
  <c r="C11" i="84"/>
  <c r="C13" i="55" s="1"/>
  <c r="B12" i="85"/>
  <c r="B14" i="55" s="1"/>
  <c r="E12" i="85"/>
  <c r="E14" i="55" s="1"/>
  <c r="I12" i="85"/>
  <c r="I14" i="55" s="1"/>
  <c r="K12" i="85"/>
  <c r="K14" i="55" s="1"/>
  <c r="M12" i="85"/>
  <c r="M14" i="55" s="1"/>
  <c r="F12" i="85"/>
  <c r="F14" i="55" s="1"/>
  <c r="I46" i="85"/>
  <c r="I26" i="55" s="1"/>
  <c r="G46" i="85"/>
  <c r="G26" i="55" s="1"/>
  <c r="B46" i="85"/>
  <c r="B26" i="55" s="1"/>
  <c r="D46" i="85"/>
  <c r="D26" i="55" s="1"/>
  <c r="F46" i="85"/>
  <c r="F26" i="55" s="1"/>
  <c r="H46" i="85"/>
  <c r="H26" i="55" s="1"/>
  <c r="J46" i="85"/>
  <c r="J26" i="55" s="1"/>
  <c r="D12" i="85"/>
  <c r="D14" i="55" s="1"/>
  <c r="H12" i="85"/>
  <c r="H14" i="55" s="1"/>
  <c r="J12" i="85"/>
  <c r="J14" i="55" s="1"/>
  <c r="L12" i="85"/>
  <c r="L14" i="55" s="1"/>
  <c r="I31" i="84"/>
  <c r="I30" i="84" s="1"/>
  <c r="I25" i="55" s="1"/>
  <c r="L39" i="72"/>
  <c r="L44" i="72"/>
  <c r="H38" i="72"/>
  <c r="I38" i="72"/>
  <c r="G38" i="72"/>
  <c r="F38" i="72"/>
  <c r="M36" i="71"/>
  <c r="L36" i="71"/>
  <c r="D58" i="69"/>
  <c r="M40" i="69"/>
  <c r="L40" i="69"/>
  <c r="K40" i="69"/>
  <c r="J40" i="69"/>
  <c r="I32" i="67"/>
  <c r="H32" i="67"/>
  <c r="G32" i="67"/>
  <c r="F32" i="67"/>
  <c r="I34" i="64"/>
  <c r="H34" i="64"/>
  <c r="G34" i="64"/>
  <c r="F34" i="64"/>
  <c r="M49" i="83"/>
  <c r="L49" i="83"/>
  <c r="K49" i="83"/>
  <c r="J49" i="83"/>
  <c r="M42" i="77"/>
  <c r="L42" i="77"/>
  <c r="K42" i="77"/>
  <c r="J42" i="77"/>
  <c r="E58" i="76"/>
  <c r="D58" i="76"/>
  <c r="C58" i="76"/>
  <c r="B58" i="76"/>
  <c r="M30" i="79" l="1"/>
  <c r="L30" i="79"/>
  <c r="K30" i="79"/>
  <c r="J30" i="79"/>
  <c r="M45" i="76"/>
  <c r="L45" i="76"/>
  <c r="K45" i="76"/>
  <c r="J45" i="76"/>
  <c r="L37" i="74"/>
  <c r="L38" i="74"/>
  <c r="L39" i="74"/>
  <c r="L35" i="74"/>
  <c r="I34" i="74"/>
  <c r="H34" i="74"/>
  <c r="G34" i="74"/>
  <c r="F34" i="74"/>
  <c r="M24" i="61" l="1"/>
  <c r="M24" i="55" l="1"/>
  <c r="AI12" i="90"/>
  <c r="M47" i="55"/>
  <c r="L47" i="55"/>
  <c r="K47" i="55"/>
  <c r="J47" i="55"/>
  <c r="M35" i="55"/>
  <c r="L35" i="55"/>
  <c r="C47" i="55"/>
  <c r="D47" i="55"/>
  <c r="E47" i="55"/>
  <c r="B47" i="55"/>
  <c r="I30" i="82" l="1"/>
  <c r="G30" i="82"/>
  <c r="F30" i="82"/>
  <c r="H30" i="82" l="1"/>
  <c r="H58" i="89"/>
  <c r="H54" i="89" s="1"/>
  <c r="H53" i="89" s="1"/>
  <c r="H42" i="55" s="1"/>
  <c r="L34" i="82"/>
  <c r="L30" i="82" s="1"/>
  <c r="I58" i="89"/>
  <c r="L80" i="89" l="1"/>
  <c r="L76" i="89" s="1"/>
  <c r="L75" i="89" s="1"/>
  <c r="I54" i="89"/>
  <c r="I53" i="89" s="1"/>
  <c r="I42" i="55" s="1"/>
  <c r="H68" i="55" s="1"/>
  <c r="K32" i="75"/>
  <c r="J32" i="75"/>
  <c r="I33" i="62" l="1"/>
  <c r="H33" i="62"/>
  <c r="L24" i="61"/>
  <c r="H38" i="61"/>
  <c r="L24" i="55" l="1"/>
  <c r="AH12" i="90"/>
  <c r="C35" i="89"/>
  <c r="C36" i="89"/>
  <c r="C37" i="89"/>
  <c r="C34" i="89"/>
  <c r="H31" i="73"/>
  <c r="H30" i="73"/>
  <c r="H29" i="73"/>
  <c r="L40" i="72"/>
  <c r="L41" i="72"/>
  <c r="L42" i="72"/>
  <c r="L43" i="72"/>
  <c r="L45" i="72"/>
  <c r="L46" i="72"/>
  <c r="E38" i="72"/>
  <c r="BH26" i="90" s="1"/>
  <c r="D38" i="72"/>
  <c r="BG26" i="90" s="1"/>
  <c r="C38" i="72"/>
  <c r="B38" i="72"/>
  <c r="M25" i="72"/>
  <c r="AI26" i="90" s="1"/>
  <c r="L25" i="72"/>
  <c r="AH26" i="90" s="1"/>
  <c r="K25" i="72"/>
  <c r="J25" i="72"/>
  <c r="I25" i="72"/>
  <c r="AC26" i="90" s="1"/>
  <c r="H25" i="72"/>
  <c r="AB26" i="90" s="1"/>
  <c r="G25" i="72"/>
  <c r="AA26" i="90" s="1"/>
  <c r="F25" i="72"/>
  <c r="Z26" i="90" s="1"/>
  <c r="D63" i="69"/>
  <c r="D62" i="69"/>
  <c r="D61" i="69"/>
  <c r="D60" i="69"/>
  <c r="D59" i="69"/>
  <c r="D57" i="69"/>
  <c r="D55" i="69"/>
  <c r="H25" i="68"/>
  <c r="H24" i="68" s="1"/>
  <c r="E24" i="68"/>
  <c r="BH21" i="90" s="1"/>
  <c r="D24" i="68"/>
  <c r="BG21" i="90" s="1"/>
  <c r="C24" i="68"/>
  <c r="B24" i="68"/>
  <c r="M18" i="68"/>
  <c r="L18" i="68"/>
  <c r="K18" i="68"/>
  <c r="J18" i="68"/>
  <c r="I18" i="68"/>
  <c r="AC21" i="90" s="1"/>
  <c r="H18" i="68"/>
  <c r="AB21" i="90" s="1"/>
  <c r="G18" i="68"/>
  <c r="AA21" i="90" s="1"/>
  <c r="F18" i="68"/>
  <c r="Z21" i="90" s="1"/>
  <c r="D46" i="66"/>
  <c r="D47" i="66"/>
  <c r="D48" i="66"/>
  <c r="D49" i="66"/>
  <c r="D50" i="66"/>
  <c r="D51" i="66"/>
  <c r="L36" i="74"/>
  <c r="H43" i="65"/>
  <c r="H42" i="65"/>
  <c r="H41" i="65"/>
  <c r="H40" i="65"/>
  <c r="H39" i="65"/>
  <c r="H38" i="65"/>
  <c r="H37" i="65"/>
  <c r="E36" i="65"/>
  <c r="BH18" i="90" s="1"/>
  <c r="D36" i="65"/>
  <c r="BG18" i="90" s="1"/>
  <c r="C36" i="65"/>
  <c r="B36" i="65"/>
  <c r="M24" i="65"/>
  <c r="AI18" i="90" s="1"/>
  <c r="L24" i="65"/>
  <c r="AH18" i="90" s="1"/>
  <c r="K24" i="65"/>
  <c r="J24" i="65"/>
  <c r="H42" i="63"/>
  <c r="H41" i="63"/>
  <c r="H40" i="63"/>
  <c r="H39" i="63"/>
  <c r="H37" i="63"/>
  <c r="K24" i="63"/>
  <c r="J24" i="63"/>
  <c r="I24" i="63"/>
  <c r="AC15" i="90" s="1"/>
  <c r="H24" i="63"/>
  <c r="AB15" i="90" s="1"/>
  <c r="G24" i="63"/>
  <c r="AA15" i="90" s="1"/>
  <c r="F24" i="63"/>
  <c r="Z15" i="90" s="1"/>
  <c r="M75" i="85" l="1"/>
  <c r="M74" i="85" s="1"/>
  <c r="M46" i="85" s="1"/>
  <c r="M26" i="55" s="1"/>
  <c r="H64" i="55" s="1"/>
  <c r="AI21" i="90"/>
  <c r="L75" i="85"/>
  <c r="L74" i="85" s="1"/>
  <c r="L46" i="85" s="1"/>
  <c r="L26" i="55" s="1"/>
  <c r="AH21" i="90"/>
  <c r="H149" i="85"/>
  <c r="H148" i="85" s="1"/>
  <c r="H118" i="85" s="1"/>
  <c r="D58" i="84"/>
  <c r="E58" i="84"/>
  <c r="L60" i="84"/>
  <c r="L58" i="84" s="1"/>
  <c r="L24" i="63"/>
  <c r="AH15" i="90" s="1"/>
  <c r="H38" i="63"/>
  <c r="M24" i="63"/>
  <c r="AI15" i="90" s="1"/>
  <c r="C33" i="89"/>
  <c r="C32" i="89" s="1"/>
  <c r="C30" i="55" s="1"/>
  <c r="H49" i="71"/>
  <c r="L38" i="72"/>
  <c r="H64" i="83"/>
  <c r="D45" i="66"/>
  <c r="H36" i="65"/>
  <c r="H28" i="73"/>
  <c r="G27" i="89"/>
  <c r="G26" i="89"/>
  <c r="G25" i="89"/>
  <c r="G24" i="89"/>
  <c r="G23" i="89"/>
  <c r="G22" i="89"/>
  <c r="G21" i="89"/>
  <c r="G19" i="89"/>
  <c r="G18" i="89"/>
  <c r="I49" i="83"/>
  <c r="H49" i="83"/>
  <c r="G49" i="83"/>
  <c r="F49" i="83"/>
  <c r="E49" i="83"/>
  <c r="BH38" i="90" s="1"/>
  <c r="D49" i="83"/>
  <c r="BG38" i="90" s="1"/>
  <c r="C49" i="83"/>
  <c r="B49" i="83"/>
  <c r="M27" i="83"/>
  <c r="AI38" i="90" s="1"/>
  <c r="L27" i="83"/>
  <c r="AH38" i="90" s="1"/>
  <c r="K27" i="83"/>
  <c r="J27" i="83"/>
  <c r="I27" i="83"/>
  <c r="AC38" i="90" s="1"/>
  <c r="H27" i="83"/>
  <c r="AB38" i="90" s="1"/>
  <c r="G27" i="83"/>
  <c r="AA38" i="90" s="1"/>
  <c r="F27" i="83"/>
  <c r="Z38" i="90" s="1"/>
  <c r="E27" i="83"/>
  <c r="W38" i="90" s="1"/>
  <c r="D27" i="83"/>
  <c r="V38" i="90" s="1"/>
  <c r="C27" i="83"/>
  <c r="U38" i="90" s="1"/>
  <c r="B27" i="83"/>
  <c r="T38" i="90" s="1"/>
  <c r="M12" i="83"/>
  <c r="Q38" i="90" s="1"/>
  <c r="L12" i="83"/>
  <c r="P38" i="90" s="1"/>
  <c r="K12" i="83"/>
  <c r="O38" i="90" s="1"/>
  <c r="J12" i="83"/>
  <c r="N38" i="90" s="1"/>
  <c r="I12" i="83"/>
  <c r="K38" i="90" s="1"/>
  <c r="H12" i="83"/>
  <c r="J38" i="90" s="1"/>
  <c r="F12" i="83"/>
  <c r="H38" i="90" s="1"/>
  <c r="E12" i="83"/>
  <c r="E38" i="90" s="1"/>
  <c r="D12" i="83"/>
  <c r="D38" i="90" s="1"/>
  <c r="B12" i="83"/>
  <c r="E30" i="82"/>
  <c r="BH37" i="90" s="1"/>
  <c r="D30" i="82"/>
  <c r="BG37" i="90" s="1"/>
  <c r="C30" i="82"/>
  <c r="B30" i="82"/>
  <c r="G21" i="82"/>
  <c r="AA37" i="90" s="1"/>
  <c r="AA36" i="90" s="1"/>
  <c r="C21" i="82"/>
  <c r="U37" i="90" s="1"/>
  <c r="M21" i="82"/>
  <c r="AI37" i="90" s="1"/>
  <c r="L21" i="82"/>
  <c r="AH37" i="90" s="1"/>
  <c r="K21" i="82"/>
  <c r="J21" i="82"/>
  <c r="I21" i="82"/>
  <c r="AC37" i="90" s="1"/>
  <c r="AC36" i="90" s="1"/>
  <c r="H21" i="82"/>
  <c r="AB37" i="90" s="1"/>
  <c r="F21" i="82"/>
  <c r="Z37" i="90" s="1"/>
  <c r="Z36" i="90" s="1"/>
  <c r="E21" i="82"/>
  <c r="W37" i="90" s="1"/>
  <c r="D21" i="82"/>
  <c r="V37" i="90" s="1"/>
  <c r="B21" i="82"/>
  <c r="T37" i="90" s="1"/>
  <c r="T36" i="90" s="1"/>
  <c r="M12" i="82"/>
  <c r="Q37" i="90" s="1"/>
  <c r="L12" i="82"/>
  <c r="P37" i="90" s="1"/>
  <c r="K12" i="82"/>
  <c r="O37" i="90" s="1"/>
  <c r="O36" i="90" s="1"/>
  <c r="J12" i="82"/>
  <c r="N37" i="90" s="1"/>
  <c r="N36" i="90" s="1"/>
  <c r="I12" i="82"/>
  <c r="K37" i="90" s="1"/>
  <c r="H12" i="82"/>
  <c r="J37" i="90" s="1"/>
  <c r="F12" i="82"/>
  <c r="H37" i="90" s="1"/>
  <c r="H36" i="90" s="1"/>
  <c r="E12" i="82"/>
  <c r="E37" i="90" s="1"/>
  <c r="D12" i="82"/>
  <c r="D37" i="90" s="1"/>
  <c r="B12" i="82"/>
  <c r="H235" i="9"/>
  <c r="H234" i="9"/>
  <c r="H233" i="9"/>
  <c r="H232" i="9"/>
  <c r="C58" i="88"/>
  <c r="C56" i="88"/>
  <c r="C55" i="88"/>
  <c r="C53" i="88"/>
  <c r="C52" i="88"/>
  <c r="C51" i="88"/>
  <c r="C50" i="88"/>
  <c r="C48" i="88"/>
  <c r="C47" i="88"/>
  <c r="C46" i="88"/>
  <c r="C45" i="88"/>
  <c r="C44" i="88"/>
  <c r="C43" i="88"/>
  <c r="C42" i="88"/>
  <c r="C41" i="88"/>
  <c r="C40" i="88"/>
  <c r="C39" i="88"/>
  <c r="G32" i="88"/>
  <c r="G31" i="88"/>
  <c r="G30" i="88"/>
  <c r="G27" i="88"/>
  <c r="G26" i="88"/>
  <c r="G24" i="88"/>
  <c r="G22" i="88"/>
  <c r="G21" i="88"/>
  <c r="G20" i="88"/>
  <c r="G19" i="88"/>
  <c r="G18" i="88"/>
  <c r="G17" i="88"/>
  <c r="G16" i="88"/>
  <c r="G15" i="88"/>
  <c r="G14" i="88"/>
  <c r="G13" i="88"/>
  <c r="C16" i="88"/>
  <c r="C15" i="88"/>
  <c r="C14" i="88"/>
  <c r="C13" i="88"/>
  <c r="I30" i="79"/>
  <c r="H30" i="79"/>
  <c r="G30" i="79"/>
  <c r="F30" i="79"/>
  <c r="E30" i="79"/>
  <c r="BH35" i="90" s="1"/>
  <c r="D30" i="79"/>
  <c r="BG35" i="90" s="1"/>
  <c r="C30" i="79"/>
  <c r="B30" i="79"/>
  <c r="M21" i="79"/>
  <c r="AI35" i="90" s="1"/>
  <c r="L21" i="79"/>
  <c r="AH35" i="90" s="1"/>
  <c r="K21" i="79"/>
  <c r="J21" i="79"/>
  <c r="I21" i="79"/>
  <c r="AC35" i="90" s="1"/>
  <c r="H21" i="79"/>
  <c r="AB35" i="90" s="1"/>
  <c r="G21" i="79"/>
  <c r="AA35" i="90" s="1"/>
  <c r="F21" i="79"/>
  <c r="Z35" i="90" s="1"/>
  <c r="E21" i="79"/>
  <c r="W35" i="90" s="1"/>
  <c r="W32" i="90" s="1"/>
  <c r="D21" i="79"/>
  <c r="V35" i="90" s="1"/>
  <c r="B21" i="79"/>
  <c r="T35" i="90" s="1"/>
  <c r="M12" i="79"/>
  <c r="Q35" i="90" s="1"/>
  <c r="L12" i="79"/>
  <c r="P35" i="90" s="1"/>
  <c r="K12" i="79"/>
  <c r="O35" i="90" s="1"/>
  <c r="J12" i="79"/>
  <c r="N35" i="90" s="1"/>
  <c r="I12" i="79"/>
  <c r="K35" i="90" s="1"/>
  <c r="H12" i="79"/>
  <c r="J35" i="90" s="1"/>
  <c r="F12" i="79"/>
  <c r="H35" i="90" s="1"/>
  <c r="E12" i="79"/>
  <c r="E35" i="90" s="1"/>
  <c r="D12" i="79"/>
  <c r="D35" i="90" s="1"/>
  <c r="B12" i="79"/>
  <c r="I30" i="78"/>
  <c r="H30" i="78"/>
  <c r="G30" i="78"/>
  <c r="F30" i="78"/>
  <c r="E30" i="78"/>
  <c r="BH34" i="90" s="1"/>
  <c r="D30" i="78"/>
  <c r="BG34" i="90" s="1"/>
  <c r="C30" i="78"/>
  <c r="B30" i="78"/>
  <c r="M21" i="78"/>
  <c r="AI34" i="90" s="1"/>
  <c r="L21" i="78"/>
  <c r="AH34" i="90" s="1"/>
  <c r="K21" i="78"/>
  <c r="J21" i="78"/>
  <c r="I21" i="78"/>
  <c r="AC34" i="90" s="1"/>
  <c r="AC32" i="90" s="1"/>
  <c r="H21" i="78"/>
  <c r="AB34" i="90" s="1"/>
  <c r="G21" i="78"/>
  <c r="AA34" i="90" s="1"/>
  <c r="AA32" i="90" s="1"/>
  <c r="F21" i="78"/>
  <c r="Z34" i="90" s="1"/>
  <c r="E21" i="78"/>
  <c r="D21" i="78"/>
  <c r="B21" i="78"/>
  <c r="M12" i="78"/>
  <c r="Q34" i="90" s="1"/>
  <c r="L12" i="78"/>
  <c r="P34" i="90" s="1"/>
  <c r="K12" i="78"/>
  <c r="O34" i="90" s="1"/>
  <c r="J12" i="78"/>
  <c r="N34" i="90" s="1"/>
  <c r="H12" i="78"/>
  <c r="J34" i="90" s="1"/>
  <c r="F12" i="78"/>
  <c r="H34" i="90" s="1"/>
  <c r="E12" i="78"/>
  <c r="E34" i="90" s="1"/>
  <c r="D12" i="78"/>
  <c r="D34" i="90" s="1"/>
  <c r="B12" i="78"/>
  <c r="H57" i="77"/>
  <c r="I42" i="77"/>
  <c r="H42" i="77"/>
  <c r="G42" i="77"/>
  <c r="F42" i="77"/>
  <c r="E42" i="77"/>
  <c r="BH33" i="90" s="1"/>
  <c r="D42" i="77"/>
  <c r="BG33" i="90" s="1"/>
  <c r="BG32" i="90" s="1"/>
  <c r="C42" i="77"/>
  <c r="B42" i="77"/>
  <c r="D27" i="77"/>
  <c r="B27" i="77"/>
  <c r="M12" i="77"/>
  <c r="Q33" i="90" s="1"/>
  <c r="L12" i="77"/>
  <c r="P33" i="90" s="1"/>
  <c r="K12" i="77"/>
  <c r="O33" i="90" s="1"/>
  <c r="J12" i="77"/>
  <c r="N33" i="90" s="1"/>
  <c r="I12" i="77"/>
  <c r="K33" i="90" s="1"/>
  <c r="H12" i="77"/>
  <c r="J33" i="90" s="1"/>
  <c r="J32" i="90" s="1"/>
  <c r="F12" i="77"/>
  <c r="H33" i="90" s="1"/>
  <c r="E12" i="77"/>
  <c r="E33" i="90" s="1"/>
  <c r="D12" i="77"/>
  <c r="D33" i="90" s="1"/>
  <c r="B12" i="77"/>
  <c r="C69" i="87"/>
  <c r="C68" i="87"/>
  <c r="C67" i="87"/>
  <c r="C66" i="87"/>
  <c r="C65" i="87"/>
  <c r="C64" i="87"/>
  <c r="C63" i="87"/>
  <c r="C62" i="87"/>
  <c r="C60" i="87"/>
  <c r="C59" i="87"/>
  <c r="C58" i="87"/>
  <c r="C57" i="87"/>
  <c r="D22" i="75"/>
  <c r="V30" i="90" s="1"/>
  <c r="C56" i="87"/>
  <c r="D23" i="74"/>
  <c r="V29" i="90" s="1"/>
  <c r="C54" i="87"/>
  <c r="C53" i="87"/>
  <c r="C52" i="87"/>
  <c r="C51" i="87"/>
  <c r="C50" i="87"/>
  <c r="C49" i="87"/>
  <c r="C47" i="87"/>
  <c r="C46" i="87"/>
  <c r="C45" i="87"/>
  <c r="G38" i="87"/>
  <c r="H37" i="87"/>
  <c r="H30" i="87" s="1"/>
  <c r="H12" i="87" s="1"/>
  <c r="H16" i="55" s="1"/>
  <c r="G37" i="87"/>
  <c r="G36" i="87"/>
  <c r="G35" i="87"/>
  <c r="G34" i="87"/>
  <c r="G33" i="87"/>
  <c r="G32" i="87"/>
  <c r="G31" i="87"/>
  <c r="H12" i="75"/>
  <c r="J30" i="90" s="1"/>
  <c r="L40" i="74"/>
  <c r="L34" i="74" s="1"/>
  <c r="G23" i="87"/>
  <c r="G22" i="87"/>
  <c r="G21" i="87"/>
  <c r="H12" i="74"/>
  <c r="J29" i="90" s="1"/>
  <c r="G20" i="87"/>
  <c r="G19" i="87"/>
  <c r="G18" i="87"/>
  <c r="G16" i="87"/>
  <c r="G15" i="87"/>
  <c r="G14" i="87"/>
  <c r="C29" i="87"/>
  <c r="C28" i="87"/>
  <c r="C27" i="87"/>
  <c r="C26" i="87"/>
  <c r="C25" i="87"/>
  <c r="C22" i="87"/>
  <c r="C20" i="87"/>
  <c r="J114" i="87" s="1"/>
  <c r="C19" i="87"/>
  <c r="I45" i="76"/>
  <c r="H45" i="76"/>
  <c r="G45" i="76"/>
  <c r="F45" i="76"/>
  <c r="E45" i="76"/>
  <c r="BH31" i="90" s="1"/>
  <c r="D45" i="76"/>
  <c r="BG31" i="90" s="1"/>
  <c r="C45" i="76"/>
  <c r="B45" i="76"/>
  <c r="M25" i="76"/>
  <c r="AI31" i="90" s="1"/>
  <c r="L25" i="76"/>
  <c r="AH31" i="90" s="1"/>
  <c r="K25" i="76"/>
  <c r="J25" i="76"/>
  <c r="I25" i="76"/>
  <c r="AC31" i="90" s="1"/>
  <c r="H25" i="76"/>
  <c r="AB31" i="90" s="1"/>
  <c r="G25" i="76"/>
  <c r="AA31" i="90" s="1"/>
  <c r="F25" i="76"/>
  <c r="Z31" i="90" s="1"/>
  <c r="E25" i="76"/>
  <c r="W31" i="90" s="1"/>
  <c r="D25" i="76"/>
  <c r="V31" i="90" s="1"/>
  <c r="B25" i="76"/>
  <c r="T31" i="90" s="1"/>
  <c r="L12" i="76"/>
  <c r="P31" i="90" s="1"/>
  <c r="K12" i="76"/>
  <c r="O31" i="90" s="1"/>
  <c r="J12" i="76"/>
  <c r="N31" i="90" s="1"/>
  <c r="H12" i="76"/>
  <c r="J31" i="90" s="1"/>
  <c r="F12" i="76"/>
  <c r="H31" i="90" s="1"/>
  <c r="E12" i="76"/>
  <c r="E31" i="90" s="1"/>
  <c r="D12" i="76"/>
  <c r="D31" i="90" s="1"/>
  <c r="B12" i="76"/>
  <c r="E32" i="75"/>
  <c r="BH30" i="90" s="1"/>
  <c r="D32" i="75"/>
  <c r="BG30" i="90" s="1"/>
  <c r="C32" i="75"/>
  <c r="B32" i="75"/>
  <c r="M22" i="75"/>
  <c r="AI30" i="90" s="1"/>
  <c r="L22" i="75"/>
  <c r="AH30" i="90" s="1"/>
  <c r="K22" i="75"/>
  <c r="J22" i="75"/>
  <c r="I22" i="75"/>
  <c r="AC30" i="90" s="1"/>
  <c r="H22" i="75"/>
  <c r="AB30" i="90" s="1"/>
  <c r="G22" i="75"/>
  <c r="AA30" i="90" s="1"/>
  <c r="F22" i="75"/>
  <c r="Z30" i="90" s="1"/>
  <c r="E22" i="75"/>
  <c r="W30" i="90" s="1"/>
  <c r="B22" i="75"/>
  <c r="T30" i="90" s="1"/>
  <c r="M12" i="75"/>
  <c r="Q30" i="90" s="1"/>
  <c r="L12" i="75"/>
  <c r="P30" i="90" s="1"/>
  <c r="K12" i="75"/>
  <c r="O30" i="90" s="1"/>
  <c r="J12" i="75"/>
  <c r="N30" i="90" s="1"/>
  <c r="I12" i="75"/>
  <c r="K30" i="90" s="1"/>
  <c r="F12" i="75"/>
  <c r="H30" i="90" s="1"/>
  <c r="E12" i="75"/>
  <c r="E30" i="90" s="1"/>
  <c r="D12" i="75"/>
  <c r="D30" i="90" s="1"/>
  <c r="B12" i="75"/>
  <c r="E34" i="74"/>
  <c r="BH29" i="90" s="1"/>
  <c r="D34" i="74"/>
  <c r="BG29" i="90" s="1"/>
  <c r="C34" i="74"/>
  <c r="B34" i="74"/>
  <c r="M23" i="74"/>
  <c r="AI29" i="90" s="1"/>
  <c r="L23" i="74"/>
  <c r="AH29" i="90" s="1"/>
  <c r="K23" i="74"/>
  <c r="J23" i="74"/>
  <c r="I23" i="74"/>
  <c r="AC29" i="90" s="1"/>
  <c r="H23" i="74"/>
  <c r="AB29" i="90" s="1"/>
  <c r="G23" i="74"/>
  <c r="AA29" i="90" s="1"/>
  <c r="F23" i="74"/>
  <c r="Z29" i="90" s="1"/>
  <c r="E23" i="74"/>
  <c r="W29" i="90" s="1"/>
  <c r="B23" i="74"/>
  <c r="T29" i="90" s="1"/>
  <c r="M12" i="74"/>
  <c r="Q29" i="90" s="1"/>
  <c r="K12" i="74"/>
  <c r="O29" i="90" s="1"/>
  <c r="J12" i="74"/>
  <c r="N29" i="90" s="1"/>
  <c r="F12" i="74"/>
  <c r="H29" i="90" s="1"/>
  <c r="E12" i="74"/>
  <c r="E29" i="90" s="1"/>
  <c r="D12" i="74"/>
  <c r="D29" i="90" s="1"/>
  <c r="B12" i="74"/>
  <c r="AI36" i="90" l="1"/>
  <c r="AH36" i="90"/>
  <c r="AI32" i="90"/>
  <c r="V36" i="90"/>
  <c r="Q32" i="90"/>
  <c r="D32" i="90"/>
  <c r="K36" i="90"/>
  <c r="AB36" i="90"/>
  <c r="P32" i="90"/>
  <c r="D36" i="90"/>
  <c r="Q36" i="90"/>
  <c r="BH36" i="90"/>
  <c r="Z32" i="90"/>
  <c r="AM37" i="90"/>
  <c r="E36" i="90"/>
  <c r="E32" i="90"/>
  <c r="AM33" i="90"/>
  <c r="T33" i="90"/>
  <c r="T34" i="90"/>
  <c r="N32" i="90"/>
  <c r="AM30" i="90"/>
  <c r="H32" i="90"/>
  <c r="O32" i="90"/>
  <c r="V33" i="90"/>
  <c r="V34" i="90"/>
  <c r="BH32" i="90"/>
  <c r="AB32" i="90"/>
  <c r="AH32" i="90"/>
  <c r="AM35" i="90"/>
  <c r="J36" i="90"/>
  <c r="P36" i="90"/>
  <c r="W36" i="90"/>
  <c r="U36" i="90"/>
  <c r="BG36" i="90"/>
  <c r="AM38" i="90"/>
  <c r="J113" i="87"/>
  <c r="C48" i="87"/>
  <c r="C55" i="87"/>
  <c r="J116" i="87"/>
  <c r="J35" i="74"/>
  <c r="C18" i="87"/>
  <c r="J60" i="76"/>
  <c r="C32" i="87"/>
  <c r="J126" i="87" s="1"/>
  <c r="J64" i="76"/>
  <c r="C36" i="87"/>
  <c r="J130" i="87" s="1"/>
  <c r="F45" i="75"/>
  <c r="G26" i="87"/>
  <c r="G30" i="87"/>
  <c r="L65" i="76"/>
  <c r="I37" i="87"/>
  <c r="C24" i="88"/>
  <c r="J31" i="78"/>
  <c r="C12" i="79"/>
  <c r="C29" i="88"/>
  <c r="B40" i="79"/>
  <c r="G12" i="78"/>
  <c r="I34" i="90" s="1"/>
  <c r="G25" i="88"/>
  <c r="G23" i="88" s="1"/>
  <c r="C16" i="89"/>
  <c r="J34" i="82"/>
  <c r="C14" i="87"/>
  <c r="F29" i="73"/>
  <c r="J40" i="74"/>
  <c r="C23" i="87"/>
  <c r="J117" i="87" s="1"/>
  <c r="J61" i="76"/>
  <c r="C33" i="87"/>
  <c r="J127" i="87" s="1"/>
  <c r="J65" i="76"/>
  <c r="C37" i="87"/>
  <c r="J131" i="87" s="1"/>
  <c r="F46" i="75"/>
  <c r="G27" i="87"/>
  <c r="J121" i="87" s="1"/>
  <c r="C25" i="88"/>
  <c r="J32" i="78"/>
  <c r="C30" i="88"/>
  <c r="F108" i="88" s="1"/>
  <c r="B41" i="79"/>
  <c r="C49" i="88"/>
  <c r="C13" i="89"/>
  <c r="J31" i="82"/>
  <c r="H43" i="75"/>
  <c r="C24" i="87"/>
  <c r="J62" i="76"/>
  <c r="C34" i="87"/>
  <c r="J128" i="87" s="1"/>
  <c r="J66" i="76"/>
  <c r="C38" i="87"/>
  <c r="J132" i="87" s="1"/>
  <c r="G17" i="87"/>
  <c r="F44" i="75"/>
  <c r="G25" i="87"/>
  <c r="F47" i="75"/>
  <c r="G28" i="87"/>
  <c r="J122" i="87" s="1"/>
  <c r="C44" i="87"/>
  <c r="C61" i="87"/>
  <c r="L12" i="74"/>
  <c r="P29" i="90" s="1"/>
  <c r="L18" i="87"/>
  <c r="L17" i="87" s="1"/>
  <c r="L12" i="87" s="1"/>
  <c r="L16" i="55" s="1"/>
  <c r="C26" i="88"/>
  <c r="F104" i="88" s="1"/>
  <c r="J33" i="78"/>
  <c r="C31" i="88"/>
  <c r="B42" i="79"/>
  <c r="C14" i="89"/>
  <c r="J32" i="82"/>
  <c r="C15" i="87"/>
  <c r="J109" i="87" s="1"/>
  <c r="F30" i="73"/>
  <c r="C16" i="87"/>
  <c r="J110" i="87" s="1"/>
  <c r="F31" i="73"/>
  <c r="J38" i="74"/>
  <c r="C21" i="87"/>
  <c r="J115" i="87" s="1"/>
  <c r="J120" i="87"/>
  <c r="J59" i="76"/>
  <c r="C31" i="87"/>
  <c r="J63" i="76"/>
  <c r="C35" i="87"/>
  <c r="J129" i="87" s="1"/>
  <c r="G13" i="87"/>
  <c r="F48" i="75"/>
  <c r="G29" i="87"/>
  <c r="J123" i="87" s="1"/>
  <c r="L63" i="76"/>
  <c r="M35" i="87"/>
  <c r="C27" i="88"/>
  <c r="F105" i="88" s="1"/>
  <c r="J34" i="78"/>
  <c r="C32" i="88"/>
  <c r="F110" i="88" s="1"/>
  <c r="B43" i="79"/>
  <c r="I12" i="78"/>
  <c r="K34" i="90" s="1"/>
  <c r="K32" i="90" s="1"/>
  <c r="I24" i="88"/>
  <c r="L30" i="78"/>
  <c r="G12" i="79"/>
  <c r="I35" i="90" s="1"/>
  <c r="G29" i="88"/>
  <c r="G28" i="88" s="1"/>
  <c r="C38" i="88"/>
  <c r="C21" i="79"/>
  <c r="U35" i="90" s="1"/>
  <c r="C57" i="88"/>
  <c r="C54" i="88" s="1"/>
  <c r="C15" i="89"/>
  <c r="J33" i="82"/>
  <c r="G14" i="89"/>
  <c r="J78" i="89" s="1"/>
  <c r="G13" i="89"/>
  <c r="G15" i="89"/>
  <c r="G16" i="89"/>
  <c r="J80" i="89" s="1"/>
  <c r="F62" i="77"/>
  <c r="C17" i="88"/>
  <c r="F95" i="88" s="1"/>
  <c r="F66" i="77"/>
  <c r="C21" i="88"/>
  <c r="F99" i="88" s="1"/>
  <c r="F63" i="77"/>
  <c r="C18" i="88"/>
  <c r="F96" i="88" s="1"/>
  <c r="F67" i="77"/>
  <c r="C22" i="88"/>
  <c r="F100" i="88" s="1"/>
  <c r="F64" i="77"/>
  <c r="C19" i="88"/>
  <c r="F97" i="88" s="1"/>
  <c r="G12" i="88"/>
  <c r="F65" i="77"/>
  <c r="C20" i="88"/>
  <c r="F98" i="88" s="1"/>
  <c r="F61" i="77"/>
  <c r="G42" i="88"/>
  <c r="F94" i="88" s="1"/>
  <c r="F60" i="77"/>
  <c r="G41" i="88"/>
  <c r="F93" i="88" s="1"/>
  <c r="F59" i="77"/>
  <c r="G40" i="88"/>
  <c r="F92" i="88" s="1"/>
  <c r="F58" i="77"/>
  <c r="G39" i="88"/>
  <c r="F66" i="83"/>
  <c r="C19" i="89"/>
  <c r="J83" i="89" s="1"/>
  <c r="F70" i="83"/>
  <c r="C23" i="89"/>
  <c r="J87" i="89" s="1"/>
  <c r="F74" i="83"/>
  <c r="C27" i="89"/>
  <c r="J91" i="89" s="1"/>
  <c r="F67" i="83"/>
  <c r="C20" i="89"/>
  <c r="F71" i="83"/>
  <c r="C24" i="89"/>
  <c r="J88" i="89" s="1"/>
  <c r="F68" i="83"/>
  <c r="C21" i="89"/>
  <c r="J85" i="89" s="1"/>
  <c r="F72" i="83"/>
  <c r="C25" i="89"/>
  <c r="J89" i="89" s="1"/>
  <c r="F65" i="83"/>
  <c r="C18" i="89"/>
  <c r="F69" i="83"/>
  <c r="C22" i="89"/>
  <c r="J86" i="89" s="1"/>
  <c r="F73" i="83"/>
  <c r="C26" i="89"/>
  <c r="J90" i="89" s="1"/>
  <c r="G12" i="83"/>
  <c r="I38" i="90" s="1"/>
  <c r="G20" i="89"/>
  <c r="G17" i="89" s="1"/>
  <c r="G12" i="75"/>
  <c r="I30" i="90" s="1"/>
  <c r="J39" i="74"/>
  <c r="J36" i="74"/>
  <c r="J37" i="74"/>
  <c r="G12" i="74"/>
  <c r="I29" i="90" s="1"/>
  <c r="C12" i="83"/>
  <c r="I12" i="76"/>
  <c r="K31" i="90" s="1"/>
  <c r="M12" i="76"/>
  <c r="Q31" i="90" s="1"/>
  <c r="C12" i="82"/>
  <c r="G12" i="82"/>
  <c r="I37" i="90" s="1"/>
  <c r="AL37" i="90" s="1"/>
  <c r="C12" i="78"/>
  <c r="C21" i="78"/>
  <c r="C12" i="77"/>
  <c r="G12" i="77"/>
  <c r="I33" i="90" s="1"/>
  <c r="C27" i="77"/>
  <c r="C12" i="76"/>
  <c r="G12" i="76"/>
  <c r="I31" i="90" s="1"/>
  <c r="C25" i="76"/>
  <c r="U31" i="90" s="1"/>
  <c r="C22" i="75"/>
  <c r="U30" i="90" s="1"/>
  <c r="C12" i="75"/>
  <c r="I12" i="74"/>
  <c r="K29" i="90" s="1"/>
  <c r="AM29" i="90" s="1"/>
  <c r="C23" i="74"/>
  <c r="C12" i="74"/>
  <c r="AM31" i="90" l="1"/>
  <c r="L58" i="76"/>
  <c r="AL30" i="90"/>
  <c r="V32" i="90"/>
  <c r="T32" i="90"/>
  <c r="AL31" i="90"/>
  <c r="C12" i="89"/>
  <c r="AM34" i="90"/>
  <c r="AM32" i="90" s="1"/>
  <c r="J34" i="74"/>
  <c r="U29" i="90"/>
  <c r="AL29" i="90" s="1"/>
  <c r="U34" i="90"/>
  <c r="U33" i="90"/>
  <c r="I36" i="90"/>
  <c r="AL38" i="90"/>
  <c r="AL36" i="90" s="1"/>
  <c r="AL35" i="90"/>
  <c r="AM36" i="90"/>
  <c r="AL33" i="90"/>
  <c r="I32" i="90"/>
  <c r="AL34" i="90"/>
  <c r="F103" i="88"/>
  <c r="F64" i="83"/>
  <c r="G11" i="88"/>
  <c r="G17" i="55" s="1"/>
  <c r="J79" i="89"/>
  <c r="L129" i="87"/>
  <c r="M30" i="87"/>
  <c r="M12" i="87" s="1"/>
  <c r="M16" i="55" s="1"/>
  <c r="F109" i="88"/>
  <c r="F107" i="88"/>
  <c r="C28" i="88"/>
  <c r="L131" i="87"/>
  <c r="I30" i="87"/>
  <c r="I12" i="87" s="1"/>
  <c r="G24" i="87"/>
  <c r="G12" i="87" s="1"/>
  <c r="G16" i="55" s="1"/>
  <c r="F28" i="73"/>
  <c r="C37" i="88"/>
  <c r="C29" i="55" s="1"/>
  <c r="I23" i="88"/>
  <c r="I11" i="88" s="1"/>
  <c r="H102" i="88"/>
  <c r="H101" i="88" s="1"/>
  <c r="H89" i="88" s="1"/>
  <c r="C43" i="87"/>
  <c r="C28" i="55" s="1"/>
  <c r="F43" i="75"/>
  <c r="J119" i="87"/>
  <c r="J118" i="87" s="1"/>
  <c r="J108" i="87"/>
  <c r="J107" i="87" s="1"/>
  <c r="C13" i="87"/>
  <c r="J30" i="78"/>
  <c r="J112" i="87"/>
  <c r="J111" i="87" s="1"/>
  <c r="C17" i="87"/>
  <c r="J125" i="87"/>
  <c r="J124" i="87" s="1"/>
  <c r="C30" i="87"/>
  <c r="B39" i="79"/>
  <c r="F102" i="88"/>
  <c r="C23" i="88"/>
  <c r="G12" i="89"/>
  <c r="G11" i="89" s="1"/>
  <c r="G18" i="55" s="1"/>
  <c r="J77" i="89"/>
  <c r="J30" i="82"/>
  <c r="C12" i="88"/>
  <c r="F91" i="88"/>
  <c r="F90" i="88" s="1"/>
  <c r="G38" i="88"/>
  <c r="G37" i="88" s="1"/>
  <c r="G29" i="55" s="1"/>
  <c r="J84" i="89"/>
  <c r="J82" i="89"/>
  <c r="C17" i="89"/>
  <c r="C11" i="89" s="1"/>
  <c r="C18" i="55" s="1"/>
  <c r="J58" i="76"/>
  <c r="F57" i="77"/>
  <c r="C11" i="88" l="1"/>
  <c r="C17" i="55" s="1"/>
  <c r="F67" i="55" s="1"/>
  <c r="U32" i="90"/>
  <c r="AL32" i="90"/>
  <c r="F101" i="88"/>
  <c r="J81" i="89"/>
  <c r="J76" i="89"/>
  <c r="F106" i="88"/>
  <c r="I17" i="55"/>
  <c r="H67" i="55" s="1"/>
  <c r="I16" i="55"/>
  <c r="H66" i="55" s="1"/>
  <c r="C12" i="87"/>
  <c r="C16" i="55" s="1"/>
  <c r="F66" i="55" s="1"/>
  <c r="L124" i="87"/>
  <c r="L106" i="87" s="1"/>
  <c r="J106" i="87"/>
  <c r="F68" i="55"/>
  <c r="E28" i="73"/>
  <c r="BH28" i="90" s="1"/>
  <c r="BH27" i="90" s="1"/>
  <c r="D28" i="73"/>
  <c r="BG28" i="90" s="1"/>
  <c r="BG27" i="90" s="1"/>
  <c r="C28" i="73"/>
  <c r="B28" i="73"/>
  <c r="M20" i="73"/>
  <c r="AI28" i="90" s="1"/>
  <c r="AI27" i="90" s="1"/>
  <c r="L20" i="73"/>
  <c r="AH28" i="90" s="1"/>
  <c r="AH27" i="90" s="1"/>
  <c r="K20" i="73"/>
  <c r="J20" i="73"/>
  <c r="I20" i="73"/>
  <c r="AC28" i="90" s="1"/>
  <c r="AC27" i="90" s="1"/>
  <c r="H20" i="73"/>
  <c r="AB28" i="90" s="1"/>
  <c r="AB27" i="90" s="1"/>
  <c r="G20" i="73"/>
  <c r="AA28" i="90" s="1"/>
  <c r="AA27" i="90" s="1"/>
  <c r="F20" i="73"/>
  <c r="Z28" i="90" s="1"/>
  <c r="Z27" i="90" s="1"/>
  <c r="E20" i="73"/>
  <c r="W28" i="90" s="1"/>
  <c r="W27" i="90" s="1"/>
  <c r="D20" i="73"/>
  <c r="V28" i="90" s="1"/>
  <c r="V27" i="90" s="1"/>
  <c r="C20" i="73"/>
  <c r="U28" i="90" s="1"/>
  <c r="U27" i="90" s="1"/>
  <c r="B20" i="73"/>
  <c r="T28" i="90" s="1"/>
  <c r="T27" i="90" s="1"/>
  <c r="M12" i="73"/>
  <c r="Q28" i="90" s="1"/>
  <c r="Q27" i="90" s="1"/>
  <c r="L12" i="73"/>
  <c r="P28" i="90" s="1"/>
  <c r="P27" i="90" s="1"/>
  <c r="K12" i="73"/>
  <c r="O28" i="90" s="1"/>
  <c r="O27" i="90" s="1"/>
  <c r="J12" i="73"/>
  <c r="N28" i="90" s="1"/>
  <c r="N27" i="90" s="1"/>
  <c r="I12" i="73"/>
  <c r="K28" i="90" s="1"/>
  <c r="K27" i="90" s="1"/>
  <c r="H12" i="73"/>
  <c r="J28" i="90" s="1"/>
  <c r="J27" i="90" s="1"/>
  <c r="G12" i="73"/>
  <c r="I28" i="90" s="1"/>
  <c r="F12" i="73"/>
  <c r="H28" i="90" s="1"/>
  <c r="H27" i="90" s="1"/>
  <c r="E12" i="73"/>
  <c r="E28" i="90" s="1"/>
  <c r="D12" i="73"/>
  <c r="D28" i="90" s="1"/>
  <c r="D27" i="90" s="1"/>
  <c r="C12" i="73"/>
  <c r="B12" i="73"/>
  <c r="K36" i="71"/>
  <c r="J36" i="71"/>
  <c r="AL28" i="90" l="1"/>
  <c r="AL27" i="90" s="1"/>
  <c r="I27" i="90"/>
  <c r="AM28" i="90"/>
  <c r="AM27" i="90" s="1"/>
  <c r="E27" i="90"/>
  <c r="F89" i="88"/>
  <c r="J75" i="89"/>
  <c r="L15" i="86"/>
  <c r="L13" i="86" s="1"/>
  <c r="L12" i="86" s="1"/>
  <c r="L15" i="55" s="1"/>
  <c r="C89" i="86"/>
  <c r="C88" i="86"/>
  <c r="C87" i="86"/>
  <c r="C86" i="86"/>
  <c r="C85" i="86"/>
  <c r="C84" i="86"/>
  <c r="C83" i="86"/>
  <c r="C82" i="86"/>
  <c r="C80" i="86"/>
  <c r="C79" i="86"/>
  <c r="C78" i="86"/>
  <c r="C77" i="86"/>
  <c r="C76" i="86"/>
  <c r="C75" i="86"/>
  <c r="C74" i="86"/>
  <c r="C72" i="86"/>
  <c r="C71" i="86"/>
  <c r="C70" i="86"/>
  <c r="C69" i="86"/>
  <c r="C68" i="86"/>
  <c r="C67" i="86"/>
  <c r="C66" i="86"/>
  <c r="C65" i="86"/>
  <c r="C63" i="86"/>
  <c r="C62" i="86"/>
  <c r="C61" i="86"/>
  <c r="C60" i="86"/>
  <c r="C59" i="86"/>
  <c r="C58" i="86"/>
  <c r="C57" i="86"/>
  <c r="C56" i="86"/>
  <c r="C55" i="86"/>
  <c r="G44" i="86"/>
  <c r="G42" i="86"/>
  <c r="G41" i="86"/>
  <c r="G39" i="86"/>
  <c r="G38" i="86"/>
  <c r="G37" i="86"/>
  <c r="G36" i="86"/>
  <c r="G35" i="86"/>
  <c r="G34" i="86"/>
  <c r="G33" i="86"/>
  <c r="G31" i="86"/>
  <c r="G30" i="86"/>
  <c r="G29" i="86"/>
  <c r="G28" i="86"/>
  <c r="G27" i="86"/>
  <c r="G26" i="86"/>
  <c r="G25" i="86"/>
  <c r="G24" i="86"/>
  <c r="G22" i="86"/>
  <c r="G21" i="86"/>
  <c r="G20" i="86"/>
  <c r="G19" i="86"/>
  <c r="G18" i="86"/>
  <c r="G17" i="86"/>
  <c r="G16" i="86"/>
  <c r="G15" i="86"/>
  <c r="G14" i="86"/>
  <c r="F56" i="71"/>
  <c r="F55" i="71"/>
  <c r="F54" i="71"/>
  <c r="F53" i="71"/>
  <c r="F52" i="71"/>
  <c r="F51" i="71"/>
  <c r="J46" i="70"/>
  <c r="J45" i="70"/>
  <c r="J43" i="70"/>
  <c r="J42" i="70"/>
  <c r="J41" i="70"/>
  <c r="J39" i="70"/>
  <c r="C19" i="86"/>
  <c r="C17" i="86"/>
  <c r="C15" i="86"/>
  <c r="E25" i="72"/>
  <c r="W26" i="90" s="1"/>
  <c r="D25" i="72"/>
  <c r="V26" i="90" s="1"/>
  <c r="B25" i="72"/>
  <c r="T26" i="90" s="1"/>
  <c r="M12" i="72"/>
  <c r="Q26" i="90" s="1"/>
  <c r="L12" i="72"/>
  <c r="P26" i="90" s="1"/>
  <c r="K12" i="72"/>
  <c r="O26" i="90" s="1"/>
  <c r="J12" i="72"/>
  <c r="N26" i="90" s="1"/>
  <c r="I12" i="72"/>
  <c r="K26" i="90" s="1"/>
  <c r="H12" i="72"/>
  <c r="J26" i="90" s="1"/>
  <c r="F12" i="72"/>
  <c r="H26" i="90" s="1"/>
  <c r="E12" i="72"/>
  <c r="E26" i="90" s="1"/>
  <c r="D12" i="72"/>
  <c r="D26" i="90" s="1"/>
  <c r="B12" i="72"/>
  <c r="I36" i="71"/>
  <c r="H36" i="71"/>
  <c r="G36" i="71"/>
  <c r="F36" i="71"/>
  <c r="E36" i="71"/>
  <c r="BH25" i="90" s="1"/>
  <c r="D36" i="71"/>
  <c r="BG25" i="90" s="1"/>
  <c r="C36" i="71"/>
  <c r="B36" i="71"/>
  <c r="M24" i="71"/>
  <c r="AI25" i="90" s="1"/>
  <c r="L24" i="71"/>
  <c r="AH25" i="90" s="1"/>
  <c r="K24" i="71"/>
  <c r="J24" i="71"/>
  <c r="I24" i="71"/>
  <c r="AC25" i="90" s="1"/>
  <c r="H24" i="71"/>
  <c r="AB25" i="90" s="1"/>
  <c r="G24" i="71"/>
  <c r="AA25" i="90" s="1"/>
  <c r="F24" i="71"/>
  <c r="Z25" i="90" s="1"/>
  <c r="E24" i="71"/>
  <c r="W25" i="90" s="1"/>
  <c r="D24" i="71"/>
  <c r="V25" i="90" s="1"/>
  <c r="B24" i="71"/>
  <c r="T25" i="90" s="1"/>
  <c r="M12" i="71"/>
  <c r="Q25" i="90" s="1"/>
  <c r="L12" i="71"/>
  <c r="P25" i="90" s="1"/>
  <c r="K12" i="71"/>
  <c r="O25" i="90" s="1"/>
  <c r="J12" i="71"/>
  <c r="N25" i="90" s="1"/>
  <c r="I12" i="71"/>
  <c r="K25" i="90" s="1"/>
  <c r="H12" i="71"/>
  <c r="J25" i="90" s="1"/>
  <c r="F12" i="71"/>
  <c r="H25" i="90" s="1"/>
  <c r="E12" i="71"/>
  <c r="E25" i="90" s="1"/>
  <c r="D12" i="71"/>
  <c r="D25" i="90" s="1"/>
  <c r="B12" i="71"/>
  <c r="L38" i="70"/>
  <c r="I38" i="70"/>
  <c r="H38" i="70"/>
  <c r="G38" i="70"/>
  <c r="F38" i="70"/>
  <c r="E38" i="70"/>
  <c r="BH24" i="90" s="1"/>
  <c r="D38" i="70"/>
  <c r="BG24" i="90" s="1"/>
  <c r="C38" i="70"/>
  <c r="B38" i="70"/>
  <c r="M25" i="70"/>
  <c r="AI24" i="90" s="1"/>
  <c r="L25" i="70"/>
  <c r="AH24" i="90" s="1"/>
  <c r="K25" i="70"/>
  <c r="J25" i="70"/>
  <c r="I25" i="70"/>
  <c r="AC24" i="90" s="1"/>
  <c r="H25" i="70"/>
  <c r="AB24" i="90" s="1"/>
  <c r="G25" i="70"/>
  <c r="AA24" i="90" s="1"/>
  <c r="F25" i="70"/>
  <c r="Z24" i="90" s="1"/>
  <c r="E25" i="70"/>
  <c r="W24" i="90" s="1"/>
  <c r="D25" i="70"/>
  <c r="V24" i="90" s="1"/>
  <c r="B25" i="70"/>
  <c r="T24" i="90" s="1"/>
  <c r="M12" i="70"/>
  <c r="Q24" i="90" s="1"/>
  <c r="L12" i="70"/>
  <c r="P24" i="90" s="1"/>
  <c r="K12" i="70"/>
  <c r="O24" i="90" s="1"/>
  <c r="J12" i="70"/>
  <c r="N24" i="90" s="1"/>
  <c r="I12" i="70"/>
  <c r="K24" i="90" s="1"/>
  <c r="H12" i="70"/>
  <c r="J24" i="90" s="1"/>
  <c r="F12" i="70"/>
  <c r="H24" i="90" s="1"/>
  <c r="E12" i="70"/>
  <c r="E24" i="90" s="1"/>
  <c r="D12" i="70"/>
  <c r="D24" i="90" s="1"/>
  <c r="B12" i="70"/>
  <c r="I40" i="69"/>
  <c r="H40" i="69"/>
  <c r="G40" i="69"/>
  <c r="F40" i="69"/>
  <c r="E40" i="69"/>
  <c r="BH23" i="90" s="1"/>
  <c r="D40" i="69"/>
  <c r="BG23" i="90" s="1"/>
  <c r="BG22" i="90" s="1"/>
  <c r="C40" i="69"/>
  <c r="B40" i="69"/>
  <c r="M26" i="69"/>
  <c r="AI23" i="90" s="1"/>
  <c r="L26" i="69"/>
  <c r="AH23" i="90" s="1"/>
  <c r="K26" i="69"/>
  <c r="J26" i="69"/>
  <c r="I26" i="69"/>
  <c r="AC23" i="90" s="1"/>
  <c r="H26" i="69"/>
  <c r="AB23" i="90" s="1"/>
  <c r="AB22" i="90" s="1"/>
  <c r="G26" i="69"/>
  <c r="AA23" i="90" s="1"/>
  <c r="F26" i="69"/>
  <c r="Z23" i="90" s="1"/>
  <c r="Z22" i="90" s="1"/>
  <c r="E26" i="69"/>
  <c r="W23" i="90" s="1"/>
  <c r="D26" i="69"/>
  <c r="V23" i="90" s="1"/>
  <c r="B26" i="69"/>
  <c r="T23" i="90" s="1"/>
  <c r="K12" i="69"/>
  <c r="O23" i="90" s="1"/>
  <c r="O22" i="90" s="1"/>
  <c r="J12" i="69"/>
  <c r="N23" i="90" s="1"/>
  <c r="I12" i="69"/>
  <c r="K23" i="90" s="1"/>
  <c r="H12" i="69"/>
  <c r="J23" i="90" s="1"/>
  <c r="F12" i="69"/>
  <c r="H23" i="90" s="1"/>
  <c r="H22" i="90" s="1"/>
  <c r="E12" i="69"/>
  <c r="E23" i="90" s="1"/>
  <c r="D12" i="69"/>
  <c r="D23" i="90" s="1"/>
  <c r="B12" i="69"/>
  <c r="M34" i="66"/>
  <c r="L34" i="66"/>
  <c r="K34" i="66"/>
  <c r="J34" i="66"/>
  <c r="L12" i="66"/>
  <c r="P19" i="90" s="1"/>
  <c r="C53" i="85"/>
  <c r="C52" i="85"/>
  <c r="C51" i="85"/>
  <c r="C50" i="85"/>
  <c r="C49" i="85"/>
  <c r="C48" i="85"/>
  <c r="G39" i="85"/>
  <c r="G38" i="85"/>
  <c r="G37" i="85"/>
  <c r="G36" i="85"/>
  <c r="G34" i="85"/>
  <c r="G33" i="85"/>
  <c r="G32" i="85"/>
  <c r="G31" i="85"/>
  <c r="G30" i="85"/>
  <c r="G29" i="85"/>
  <c r="G27" i="85"/>
  <c r="G26" i="85"/>
  <c r="G25" i="85"/>
  <c r="G24" i="85"/>
  <c r="G23" i="85"/>
  <c r="G22" i="85"/>
  <c r="G21" i="85"/>
  <c r="G19" i="85"/>
  <c r="G18" i="85"/>
  <c r="G17" i="85"/>
  <c r="G16" i="85"/>
  <c r="G15" i="85"/>
  <c r="G14" i="85"/>
  <c r="C41" i="85"/>
  <c r="C12" i="67"/>
  <c r="E18" i="68"/>
  <c r="W21" i="90" s="1"/>
  <c r="D18" i="68"/>
  <c r="V21" i="90" s="1"/>
  <c r="C18" i="68"/>
  <c r="U21" i="90" s="1"/>
  <c r="B18" i="68"/>
  <c r="T21" i="90" s="1"/>
  <c r="M12" i="68"/>
  <c r="Q21" i="90" s="1"/>
  <c r="L12" i="68"/>
  <c r="P21" i="90" s="1"/>
  <c r="K12" i="68"/>
  <c r="O21" i="90" s="1"/>
  <c r="J12" i="68"/>
  <c r="N21" i="90" s="1"/>
  <c r="I12" i="68"/>
  <c r="K21" i="90" s="1"/>
  <c r="H12" i="68"/>
  <c r="J21" i="90" s="1"/>
  <c r="F12" i="68"/>
  <c r="H21" i="90" s="1"/>
  <c r="E12" i="68"/>
  <c r="E21" i="90" s="1"/>
  <c r="D12" i="68"/>
  <c r="D21" i="90" s="1"/>
  <c r="B12" i="68"/>
  <c r="E32" i="67"/>
  <c r="BH20" i="90" s="1"/>
  <c r="D32" i="67"/>
  <c r="BG20" i="90" s="1"/>
  <c r="C32" i="67"/>
  <c r="B32" i="67"/>
  <c r="M22" i="67"/>
  <c r="AI20" i="90" s="1"/>
  <c r="L22" i="67"/>
  <c r="AH20" i="90" s="1"/>
  <c r="K22" i="67"/>
  <c r="J22" i="67"/>
  <c r="I22" i="67"/>
  <c r="AC20" i="90" s="1"/>
  <c r="H22" i="67"/>
  <c r="AB20" i="90" s="1"/>
  <c r="G22" i="67"/>
  <c r="AA20" i="90" s="1"/>
  <c r="F22" i="67"/>
  <c r="Z20" i="90" s="1"/>
  <c r="E22" i="67"/>
  <c r="D22" i="67"/>
  <c r="C22" i="67"/>
  <c r="B22" i="67"/>
  <c r="M12" i="67"/>
  <c r="Q20" i="90" s="1"/>
  <c r="L12" i="67"/>
  <c r="P20" i="90" s="1"/>
  <c r="K12" i="67"/>
  <c r="O20" i="90" s="1"/>
  <c r="J12" i="67"/>
  <c r="N20" i="90" s="1"/>
  <c r="I12" i="67"/>
  <c r="K20" i="90" s="1"/>
  <c r="H12" i="67"/>
  <c r="J20" i="90" s="1"/>
  <c r="F12" i="67"/>
  <c r="H20" i="90" s="1"/>
  <c r="E12" i="67"/>
  <c r="E20" i="90" s="1"/>
  <c r="D12" i="67"/>
  <c r="D20" i="90" s="1"/>
  <c r="B12" i="67"/>
  <c r="I34" i="66"/>
  <c r="H34" i="66"/>
  <c r="G34" i="66"/>
  <c r="F34" i="66"/>
  <c r="E34" i="66"/>
  <c r="BH19" i="90" s="1"/>
  <c r="D34" i="66"/>
  <c r="BG19" i="90" s="1"/>
  <c r="C34" i="66"/>
  <c r="B34" i="66"/>
  <c r="M23" i="66"/>
  <c r="AI19" i="90" s="1"/>
  <c r="L23" i="66"/>
  <c r="AH19" i="90" s="1"/>
  <c r="K23" i="66"/>
  <c r="J23" i="66"/>
  <c r="I23" i="66"/>
  <c r="AC19" i="90" s="1"/>
  <c r="H23" i="66"/>
  <c r="AB19" i="90" s="1"/>
  <c r="G23" i="66"/>
  <c r="AA19" i="90" s="1"/>
  <c r="F23" i="66"/>
  <c r="Z19" i="90" s="1"/>
  <c r="E23" i="66"/>
  <c r="D23" i="66"/>
  <c r="C23" i="66"/>
  <c r="B23" i="66"/>
  <c r="M12" i="66"/>
  <c r="Q19" i="90" s="1"/>
  <c r="K12" i="66"/>
  <c r="O19" i="90" s="1"/>
  <c r="J12" i="66"/>
  <c r="N19" i="90" s="1"/>
  <c r="I12" i="66"/>
  <c r="K19" i="90" s="1"/>
  <c r="H12" i="66"/>
  <c r="J19" i="90" s="1"/>
  <c r="F12" i="66"/>
  <c r="H19" i="90" s="1"/>
  <c r="E12" i="66"/>
  <c r="E19" i="90" s="1"/>
  <c r="D12" i="66"/>
  <c r="D19" i="90" s="1"/>
  <c r="B12" i="66"/>
  <c r="E24" i="65"/>
  <c r="W18" i="90" s="1"/>
  <c r="D24" i="65"/>
  <c r="V18" i="90" s="1"/>
  <c r="C24" i="65"/>
  <c r="U18" i="90" s="1"/>
  <c r="B24" i="65"/>
  <c r="T18" i="90" s="1"/>
  <c r="M12" i="65"/>
  <c r="Q18" i="90" s="1"/>
  <c r="L12" i="65"/>
  <c r="P18" i="90" s="1"/>
  <c r="K12" i="65"/>
  <c r="O18" i="90" s="1"/>
  <c r="J12" i="65"/>
  <c r="N18" i="90" s="1"/>
  <c r="I12" i="65"/>
  <c r="H12" i="65"/>
  <c r="F12" i="65"/>
  <c r="E12" i="65"/>
  <c r="E18" i="90" s="1"/>
  <c r="D12" i="65"/>
  <c r="D18" i="90" s="1"/>
  <c r="B12" i="65"/>
  <c r="AI22" i="90" l="1"/>
  <c r="AH22" i="90"/>
  <c r="V22" i="90"/>
  <c r="W22" i="90"/>
  <c r="K22" i="90"/>
  <c r="D22" i="90"/>
  <c r="J22" i="90"/>
  <c r="AA22" i="90"/>
  <c r="F150" i="86"/>
  <c r="AM24" i="90"/>
  <c r="C81" i="86"/>
  <c r="AC22" i="90"/>
  <c r="BH22" i="90"/>
  <c r="T22" i="90"/>
  <c r="AM26" i="90"/>
  <c r="AM21" i="90"/>
  <c r="H15" i="90"/>
  <c r="H18" i="90"/>
  <c r="T19" i="90"/>
  <c r="T20" i="90"/>
  <c r="J18" i="90"/>
  <c r="J15" i="90"/>
  <c r="N22" i="90"/>
  <c r="K15" i="90"/>
  <c r="K18" i="90"/>
  <c r="AM18" i="90" s="1"/>
  <c r="V20" i="90"/>
  <c r="V19" i="90"/>
  <c r="E22" i="90"/>
  <c r="U20" i="90"/>
  <c r="U19" i="90"/>
  <c r="W19" i="90"/>
  <c r="AM19" i="90" s="1"/>
  <c r="W20" i="90"/>
  <c r="AM20" i="90" s="1"/>
  <c r="AM25" i="90"/>
  <c r="G20" i="85"/>
  <c r="G23" i="86"/>
  <c r="G12" i="65"/>
  <c r="J35" i="64"/>
  <c r="C14" i="85"/>
  <c r="J39" i="64"/>
  <c r="C18" i="85"/>
  <c r="F124" i="85" s="1"/>
  <c r="C23" i="85"/>
  <c r="F130" i="85" s="1"/>
  <c r="F39" i="65"/>
  <c r="C27" i="85"/>
  <c r="F134" i="85" s="1"/>
  <c r="F43" i="65"/>
  <c r="J34" i="67"/>
  <c r="C37" i="85"/>
  <c r="F144" i="85" s="1"/>
  <c r="G13" i="85"/>
  <c r="C47" i="85"/>
  <c r="C46" i="85" s="1"/>
  <c r="C26" i="55" s="1"/>
  <c r="C33" i="86"/>
  <c r="F50" i="71"/>
  <c r="G32" i="86"/>
  <c r="J36" i="64"/>
  <c r="C15" i="85"/>
  <c r="F121" i="85" s="1"/>
  <c r="J40" i="64"/>
  <c r="C19" i="85"/>
  <c r="F125" i="85" s="1"/>
  <c r="C24" i="85"/>
  <c r="F131" i="85" s="1"/>
  <c r="F40" i="65"/>
  <c r="J35" i="67"/>
  <c r="C38" i="85"/>
  <c r="F145" i="85" s="1"/>
  <c r="C25" i="86"/>
  <c r="F158" i="86" s="1"/>
  <c r="J40" i="70"/>
  <c r="C29" i="86"/>
  <c r="F162" i="86" s="1"/>
  <c r="J44" i="70"/>
  <c r="J37" i="64"/>
  <c r="C16" i="85"/>
  <c r="F122" i="85" s="1"/>
  <c r="C25" i="85"/>
  <c r="F132" i="85" s="1"/>
  <c r="F41" i="65"/>
  <c r="J36" i="67"/>
  <c r="C39" i="85"/>
  <c r="F146" i="85" s="1"/>
  <c r="C21" i="85"/>
  <c r="F37" i="65"/>
  <c r="C12" i="65"/>
  <c r="J38" i="64"/>
  <c r="C17" i="85"/>
  <c r="F123" i="85" s="1"/>
  <c r="C22" i="85"/>
  <c r="F129" i="85" s="1"/>
  <c r="F38" i="65"/>
  <c r="C26" i="85"/>
  <c r="F133" i="85" s="1"/>
  <c r="F42" i="65"/>
  <c r="J33" i="67"/>
  <c r="C36" i="85"/>
  <c r="C40" i="85"/>
  <c r="G35" i="85"/>
  <c r="G12" i="68"/>
  <c r="I21" i="90" s="1"/>
  <c r="AL21" i="90" s="1"/>
  <c r="G41" i="85"/>
  <c r="G40" i="85" s="1"/>
  <c r="C32" i="85"/>
  <c r="F139" i="85" s="1"/>
  <c r="B49" i="66"/>
  <c r="C29" i="85"/>
  <c r="B46" i="66"/>
  <c r="C33" i="85"/>
  <c r="F140" i="85" s="1"/>
  <c r="B50" i="66"/>
  <c r="G28" i="85"/>
  <c r="C30" i="85"/>
  <c r="F137" i="85" s="1"/>
  <c r="B47" i="66"/>
  <c r="C34" i="85"/>
  <c r="F141" i="85" s="1"/>
  <c r="B51" i="66"/>
  <c r="C31" i="85"/>
  <c r="F138" i="85" s="1"/>
  <c r="B48" i="66"/>
  <c r="J40" i="72"/>
  <c r="C42" i="86"/>
  <c r="F176" i="86" s="1"/>
  <c r="J44" i="72"/>
  <c r="C46" i="86"/>
  <c r="F180" i="86" s="1"/>
  <c r="J41" i="72"/>
  <c r="C43" i="86"/>
  <c r="F177" i="86" s="1"/>
  <c r="J45" i="72"/>
  <c r="C47" i="86"/>
  <c r="F181" i="86" s="1"/>
  <c r="J42" i="72"/>
  <c r="C44" i="86"/>
  <c r="F178" i="86" s="1"/>
  <c r="J46" i="72"/>
  <c r="C48" i="86"/>
  <c r="F182" i="86" s="1"/>
  <c r="J39" i="72"/>
  <c r="C41" i="86"/>
  <c r="J43" i="72"/>
  <c r="C45" i="86"/>
  <c r="F179" i="86" s="1"/>
  <c r="G40" i="86"/>
  <c r="C24" i="86"/>
  <c r="C28" i="86"/>
  <c r="F161" i="86" s="1"/>
  <c r="C26" i="86"/>
  <c r="F159" i="86" s="1"/>
  <c r="C30" i="86"/>
  <c r="F163" i="86" s="1"/>
  <c r="C27" i="86"/>
  <c r="F160" i="86" s="1"/>
  <c r="C31" i="86"/>
  <c r="F164" i="86" s="1"/>
  <c r="C64" i="86"/>
  <c r="L12" i="69"/>
  <c r="P23" i="90" s="1"/>
  <c r="P22" i="90" s="1"/>
  <c r="F148" i="86"/>
  <c r="F152" i="86"/>
  <c r="C54" i="86"/>
  <c r="B57" i="69"/>
  <c r="C16" i="86"/>
  <c r="F149" i="86" s="1"/>
  <c r="B61" i="69"/>
  <c r="C20" i="86"/>
  <c r="F153" i="86" s="1"/>
  <c r="B62" i="69"/>
  <c r="C21" i="86"/>
  <c r="F154" i="86" s="1"/>
  <c r="B55" i="69"/>
  <c r="C14" i="86"/>
  <c r="B59" i="69"/>
  <c r="C18" i="86"/>
  <c r="F151" i="86" s="1"/>
  <c r="B63" i="69"/>
  <c r="C22" i="86"/>
  <c r="F155" i="86" s="1"/>
  <c r="G13" i="86"/>
  <c r="G12" i="86" s="1"/>
  <c r="G15" i="55" s="1"/>
  <c r="M15" i="86"/>
  <c r="H148" i="86" s="1"/>
  <c r="H146" i="86" s="1"/>
  <c r="D56" i="69"/>
  <c r="D54" i="69" s="1"/>
  <c r="F166" i="86"/>
  <c r="C37" i="86"/>
  <c r="F170" i="86" s="1"/>
  <c r="C34" i="86"/>
  <c r="F167" i="86" s="1"/>
  <c r="C38" i="86"/>
  <c r="F171" i="86" s="1"/>
  <c r="C35" i="86"/>
  <c r="F168" i="86" s="1"/>
  <c r="C39" i="86"/>
  <c r="F172" i="86" s="1"/>
  <c r="C36" i="86"/>
  <c r="F169" i="86" s="1"/>
  <c r="C73" i="86"/>
  <c r="C25" i="72"/>
  <c r="U26" i="90" s="1"/>
  <c r="J38" i="72"/>
  <c r="G12" i="67"/>
  <c r="I20" i="90" s="1"/>
  <c r="AL20" i="90" s="1"/>
  <c r="G12" i="71"/>
  <c r="I25" i="90" s="1"/>
  <c r="C24" i="71"/>
  <c r="U25" i="90" s="1"/>
  <c r="C12" i="72"/>
  <c r="G12" i="72"/>
  <c r="I26" i="90" s="1"/>
  <c r="C12" i="71"/>
  <c r="C12" i="70"/>
  <c r="G12" i="70"/>
  <c r="I24" i="90" s="1"/>
  <c r="C25" i="70"/>
  <c r="U24" i="90" s="1"/>
  <c r="C12" i="69"/>
  <c r="B58" i="69"/>
  <c r="G12" i="69"/>
  <c r="I23" i="90" s="1"/>
  <c r="C26" i="69"/>
  <c r="U23" i="90" s="1"/>
  <c r="M12" i="69"/>
  <c r="Q23" i="90" s="1"/>
  <c r="Q22" i="90" s="1"/>
  <c r="B56" i="69"/>
  <c r="B60" i="69"/>
  <c r="C12" i="68"/>
  <c r="F25" i="68"/>
  <c r="F24" i="68" s="1"/>
  <c r="C12" i="66"/>
  <c r="G12" i="66"/>
  <c r="I19" i="90" s="1"/>
  <c r="AL19" i="90" s="1"/>
  <c r="U22" i="90" l="1"/>
  <c r="AL25" i="90"/>
  <c r="AL26" i="90"/>
  <c r="I15" i="90"/>
  <c r="I18" i="90"/>
  <c r="AL18" i="90" s="1"/>
  <c r="AL23" i="90"/>
  <c r="I22" i="90"/>
  <c r="AL24" i="90"/>
  <c r="AM23" i="90"/>
  <c r="AM22" i="90" s="1"/>
  <c r="J38" i="70"/>
  <c r="F165" i="86"/>
  <c r="J32" i="67"/>
  <c r="F36" i="65"/>
  <c r="J34" i="64"/>
  <c r="G12" i="85"/>
  <c r="G14" i="55" s="1"/>
  <c r="C35" i="85"/>
  <c r="F143" i="85"/>
  <c r="F142" i="85" s="1"/>
  <c r="F128" i="85"/>
  <c r="F127" i="85" s="1"/>
  <c r="C20" i="85"/>
  <c r="C13" i="85"/>
  <c r="F120" i="85"/>
  <c r="F119" i="85" s="1"/>
  <c r="F149" i="85"/>
  <c r="F148" i="85" s="1"/>
  <c r="B45" i="66"/>
  <c r="C28" i="85"/>
  <c r="F136" i="85"/>
  <c r="F135" i="85" s="1"/>
  <c r="F175" i="86"/>
  <c r="F174" i="86" s="1"/>
  <c r="C40" i="86"/>
  <c r="F157" i="86"/>
  <c r="F156" i="86" s="1"/>
  <c r="C23" i="86"/>
  <c r="C53" i="86"/>
  <c r="C27" i="55" s="1"/>
  <c r="M13" i="86"/>
  <c r="M12" i="86" s="1"/>
  <c r="H145" i="86"/>
  <c r="F147" i="86"/>
  <c r="F146" i="86" s="1"/>
  <c r="C13" i="86"/>
  <c r="C32" i="86"/>
  <c r="F49" i="71"/>
  <c r="B54" i="69"/>
  <c r="E34" i="64"/>
  <c r="BH17" i="90" s="1"/>
  <c r="BH16" i="90" s="1"/>
  <c r="D34" i="64"/>
  <c r="BG17" i="90" s="1"/>
  <c r="BG16" i="90" s="1"/>
  <c r="C34" i="64"/>
  <c r="B34" i="64"/>
  <c r="M23" i="64"/>
  <c r="AI17" i="90" s="1"/>
  <c r="AI16" i="90" s="1"/>
  <c r="L23" i="64"/>
  <c r="AH17" i="90" s="1"/>
  <c r="AH16" i="90" s="1"/>
  <c r="K23" i="64"/>
  <c r="J23" i="64"/>
  <c r="I23" i="64"/>
  <c r="AC17" i="90" s="1"/>
  <c r="AC16" i="90" s="1"/>
  <c r="H23" i="64"/>
  <c r="AB17" i="90" s="1"/>
  <c r="AB16" i="90" s="1"/>
  <c r="G23" i="64"/>
  <c r="AA17" i="90" s="1"/>
  <c r="AA16" i="90" s="1"/>
  <c r="F23" i="64"/>
  <c r="Z17" i="90" s="1"/>
  <c r="Z16" i="90" s="1"/>
  <c r="E23" i="64"/>
  <c r="W17" i="90" s="1"/>
  <c r="W16" i="90" s="1"/>
  <c r="D23" i="64"/>
  <c r="V17" i="90" s="1"/>
  <c r="V16" i="90" s="1"/>
  <c r="C23" i="64"/>
  <c r="U17" i="90" s="1"/>
  <c r="U16" i="90" s="1"/>
  <c r="B23" i="64"/>
  <c r="T17" i="90" s="1"/>
  <c r="T16" i="90" s="1"/>
  <c r="G12" i="64"/>
  <c r="I17" i="90" s="1"/>
  <c r="M12" i="64"/>
  <c r="Q17" i="90" s="1"/>
  <c r="Q16" i="90" s="1"/>
  <c r="L12" i="64"/>
  <c r="P17" i="90" s="1"/>
  <c r="P16" i="90" s="1"/>
  <c r="K12" i="64"/>
  <c r="O17" i="90" s="1"/>
  <c r="O16" i="90" s="1"/>
  <c r="J12" i="64"/>
  <c r="N17" i="90" s="1"/>
  <c r="N16" i="90" s="1"/>
  <c r="I12" i="64"/>
  <c r="K17" i="90" s="1"/>
  <c r="K16" i="90" s="1"/>
  <c r="H12" i="64"/>
  <c r="J17" i="90" s="1"/>
  <c r="J16" i="90" s="1"/>
  <c r="F12" i="64"/>
  <c r="H17" i="90" s="1"/>
  <c r="H16" i="90" s="1"/>
  <c r="E12" i="64"/>
  <c r="E17" i="90" s="1"/>
  <c r="D12" i="64"/>
  <c r="D17" i="90" s="1"/>
  <c r="D16" i="90" s="1"/>
  <c r="D11" i="90" s="1"/>
  <c r="C12" i="64"/>
  <c r="B12" i="64"/>
  <c r="D54" i="84"/>
  <c r="D51" i="84" s="1"/>
  <c r="D50" i="84" s="1"/>
  <c r="D37" i="55" s="1"/>
  <c r="C43" i="84"/>
  <c r="C42" i="84"/>
  <c r="C41" i="84"/>
  <c r="C40" i="84"/>
  <c r="C39" i="84"/>
  <c r="C36" i="84"/>
  <c r="C34" i="84"/>
  <c r="E24" i="63"/>
  <c r="D24" i="63"/>
  <c r="V15" i="90" s="1"/>
  <c r="B24" i="63"/>
  <c r="T15" i="90" s="1"/>
  <c r="M12" i="63"/>
  <c r="Q15" i="90" s="1"/>
  <c r="L12" i="63"/>
  <c r="P15" i="90" s="1"/>
  <c r="K12" i="63"/>
  <c r="O15" i="90" s="1"/>
  <c r="J12" i="63"/>
  <c r="N15" i="90" s="1"/>
  <c r="I12" i="63"/>
  <c r="H12" i="63"/>
  <c r="F12" i="63"/>
  <c r="E12" i="63"/>
  <c r="D12" i="63"/>
  <c r="C12" i="63"/>
  <c r="B12" i="63"/>
  <c r="E33" i="62"/>
  <c r="BH14" i="90" s="1"/>
  <c r="BH13" i="90" s="1"/>
  <c r="D33" i="62"/>
  <c r="BG14" i="90" s="1"/>
  <c r="BG13" i="90" s="1"/>
  <c r="C33" i="62"/>
  <c r="B33" i="62"/>
  <c r="M22" i="62"/>
  <c r="AI14" i="90" s="1"/>
  <c r="AI13" i="90" s="1"/>
  <c r="L22" i="62"/>
  <c r="AH14" i="90" s="1"/>
  <c r="AH13" i="90" s="1"/>
  <c r="K22" i="62"/>
  <c r="J22" i="62"/>
  <c r="I22" i="62"/>
  <c r="AC14" i="90" s="1"/>
  <c r="AC13" i="90" s="1"/>
  <c r="H22" i="62"/>
  <c r="AB14" i="90" s="1"/>
  <c r="AB13" i="90" s="1"/>
  <c r="G22" i="62"/>
  <c r="AA14" i="90" s="1"/>
  <c r="AA13" i="90" s="1"/>
  <c r="F22" i="62"/>
  <c r="Z14" i="90" s="1"/>
  <c r="Z13" i="90" s="1"/>
  <c r="E22" i="62"/>
  <c r="W14" i="90" s="1"/>
  <c r="D22" i="62"/>
  <c r="V14" i="90" s="1"/>
  <c r="B22" i="62"/>
  <c r="T14" i="90" s="1"/>
  <c r="T13" i="90" s="1"/>
  <c r="M11" i="62"/>
  <c r="Q14" i="90" s="1"/>
  <c r="L11" i="62"/>
  <c r="P14" i="90" s="1"/>
  <c r="K11" i="62"/>
  <c r="O14" i="90" s="1"/>
  <c r="O13" i="90" s="1"/>
  <c r="J11" i="62"/>
  <c r="N14" i="90" s="1"/>
  <c r="N13" i="90" s="1"/>
  <c r="I11" i="62"/>
  <c r="K14" i="90" s="1"/>
  <c r="H11" i="62"/>
  <c r="J14" i="90" s="1"/>
  <c r="J13" i="90" s="1"/>
  <c r="F11" i="62"/>
  <c r="H14" i="90" s="1"/>
  <c r="H13" i="90" s="1"/>
  <c r="E11" i="62"/>
  <c r="D11" i="62"/>
  <c r="C11" i="62"/>
  <c r="B11" i="62"/>
  <c r="C38" i="61"/>
  <c r="C36" i="55" s="1"/>
  <c r="C35" i="55" s="1"/>
  <c r="I38" i="61"/>
  <c r="I36" i="55" s="1"/>
  <c r="I35" i="55" s="1"/>
  <c r="H36" i="55"/>
  <c r="H35" i="55" s="1"/>
  <c r="G38" i="61"/>
  <c r="G36" i="55" s="1"/>
  <c r="G35" i="55" s="1"/>
  <c r="F38" i="61"/>
  <c r="F36" i="55" s="1"/>
  <c r="F35" i="55" s="1"/>
  <c r="E38" i="61"/>
  <c r="D38" i="61"/>
  <c r="B38" i="61"/>
  <c r="B36" i="55" s="1"/>
  <c r="B35" i="55" s="1"/>
  <c r="AH11" i="90" l="1"/>
  <c r="V13" i="90"/>
  <c r="V11" i="90" s="1"/>
  <c r="Q13" i="90"/>
  <c r="P13" i="90"/>
  <c r="AI11" i="90"/>
  <c r="AL22" i="90"/>
  <c r="H36" i="63"/>
  <c r="W15" i="90"/>
  <c r="AM15" i="90" s="1"/>
  <c r="E16" i="90"/>
  <c r="E11" i="90" s="1"/>
  <c r="AM17" i="90"/>
  <c r="AM16" i="90" s="1"/>
  <c r="AL17" i="90"/>
  <c r="AL16" i="90" s="1"/>
  <c r="I16" i="90"/>
  <c r="D36" i="55"/>
  <c r="D35" i="55" s="1"/>
  <c r="BG12" i="90"/>
  <c r="BG11" i="90" s="1"/>
  <c r="E36" i="55"/>
  <c r="BH12" i="90"/>
  <c r="BH11" i="90" s="1"/>
  <c r="AM14" i="90"/>
  <c r="K13" i="90"/>
  <c r="M15" i="55"/>
  <c r="H65" i="55" s="1"/>
  <c r="C12" i="85"/>
  <c r="C14" i="55" s="1"/>
  <c r="F64" i="55" s="1"/>
  <c r="G20" i="84"/>
  <c r="F37" i="63"/>
  <c r="G24" i="84"/>
  <c r="J63" i="84" s="1"/>
  <c r="F41" i="63"/>
  <c r="C35" i="84"/>
  <c r="J55" i="84" s="1"/>
  <c r="C44" i="84"/>
  <c r="J64" i="84" s="1"/>
  <c r="F42" i="63"/>
  <c r="F118" i="85"/>
  <c r="G17" i="84"/>
  <c r="J56" i="84" s="1"/>
  <c r="G14" i="84"/>
  <c r="G21" i="84"/>
  <c r="J60" i="84" s="1"/>
  <c r="F38" i="63"/>
  <c r="C32" i="84"/>
  <c r="G23" i="84"/>
  <c r="J62" i="84" s="1"/>
  <c r="F40" i="63"/>
  <c r="C24" i="63"/>
  <c r="U15" i="90" s="1"/>
  <c r="AL15" i="90" s="1"/>
  <c r="G15" i="84"/>
  <c r="J54" i="84" s="1"/>
  <c r="G22" i="84"/>
  <c r="J61" i="84" s="1"/>
  <c r="F39" i="63"/>
  <c r="C22" i="62"/>
  <c r="U14" i="90" s="1"/>
  <c r="C33" i="84"/>
  <c r="C37" i="84"/>
  <c r="J57" i="84" s="1"/>
  <c r="E54" i="84"/>
  <c r="L33" i="62"/>
  <c r="C12" i="86"/>
  <c r="C15" i="55" s="1"/>
  <c r="F65" i="55" s="1"/>
  <c r="F145" i="86"/>
  <c r="L34" i="64"/>
  <c r="H52" i="61"/>
  <c r="G12" i="63"/>
  <c r="G11" i="62"/>
  <c r="I14" i="90" s="1"/>
  <c r="I24" i="61"/>
  <c r="AC12" i="90" s="1"/>
  <c r="AC11" i="90" s="1"/>
  <c r="H24" i="61"/>
  <c r="AB12" i="90" s="1"/>
  <c r="AB11" i="90" s="1"/>
  <c r="E24" i="61"/>
  <c r="F53" i="61"/>
  <c r="I11" i="61"/>
  <c r="H11" i="61"/>
  <c r="U13" i="90" l="1"/>
  <c r="W13" i="90"/>
  <c r="AL14" i="90"/>
  <c r="AL13" i="90" s="1"/>
  <c r="E24" i="55"/>
  <c r="E23" i="55" s="1"/>
  <c r="W12" i="90"/>
  <c r="H12" i="55"/>
  <c r="H11" i="55" s="1"/>
  <c r="J12" i="90"/>
  <c r="J11" i="90" s="1"/>
  <c r="I13" i="90"/>
  <c r="AM13" i="90"/>
  <c r="I12" i="55"/>
  <c r="I11" i="55" s="1"/>
  <c r="K12" i="90"/>
  <c r="F57" i="61"/>
  <c r="F36" i="63"/>
  <c r="J33" i="62"/>
  <c r="E51" i="84"/>
  <c r="E50" i="84" s="1"/>
  <c r="E37" i="55" s="1"/>
  <c r="L54" i="84"/>
  <c r="L51" i="84" s="1"/>
  <c r="L50" i="84" s="1"/>
  <c r="J52" i="84"/>
  <c r="C31" i="84"/>
  <c r="J53" i="84"/>
  <c r="G12" i="84"/>
  <c r="G19" i="84"/>
  <c r="J59" i="84"/>
  <c r="J58" i="84" s="1"/>
  <c r="F56" i="61"/>
  <c r="F60" i="61"/>
  <c r="C38" i="84"/>
  <c r="F54" i="61"/>
  <c r="F58" i="61"/>
  <c r="F55" i="61"/>
  <c r="F59" i="61"/>
  <c r="I24" i="55"/>
  <c r="H24" i="55"/>
  <c r="H23" i="55" s="1"/>
  <c r="D24" i="55"/>
  <c r="D23" i="55" s="1"/>
  <c r="D11" i="61"/>
  <c r="D12" i="55" s="1"/>
  <c r="E11" i="61"/>
  <c r="E12" i="55" s="1"/>
  <c r="M23" i="55"/>
  <c r="L23" i="55"/>
  <c r="N23" i="55" s="1"/>
  <c r="B24" i="61"/>
  <c r="C24" i="61"/>
  <c r="F24" i="61"/>
  <c r="Z12" i="90" s="1"/>
  <c r="Z11" i="90" s="1"/>
  <c r="G24" i="61"/>
  <c r="AA12" i="90" s="1"/>
  <c r="AA11" i="90" s="1"/>
  <c r="J24" i="61"/>
  <c r="K24" i="61"/>
  <c r="W11" i="90" l="1"/>
  <c r="C24" i="55"/>
  <c r="U12" i="90"/>
  <c r="U11" i="90" s="1"/>
  <c r="B24" i="55"/>
  <c r="B23" i="55" s="1"/>
  <c r="T12" i="90"/>
  <c r="T11" i="90" s="1"/>
  <c r="K11" i="90"/>
  <c r="G11" i="84"/>
  <c r="G13" i="55" s="1"/>
  <c r="H63" i="55"/>
  <c r="E35" i="55"/>
  <c r="C30" i="84"/>
  <c r="C25" i="55" s="1"/>
  <c r="J51" i="84"/>
  <c r="J50" i="84" s="1"/>
  <c r="F24" i="55"/>
  <c r="F23" i="55" s="1"/>
  <c r="K24" i="55"/>
  <c r="K23" i="55" s="1"/>
  <c r="J24" i="55"/>
  <c r="J23" i="55" s="1"/>
  <c r="G24" i="55"/>
  <c r="G23" i="55" s="1"/>
  <c r="I23" i="55"/>
  <c r="D11" i="55"/>
  <c r="E11" i="55"/>
  <c r="I207" i="10"/>
  <c r="J207" i="10"/>
  <c r="I202" i="10"/>
  <c r="J202" i="10"/>
  <c r="I231" i="9"/>
  <c r="J231" i="9"/>
  <c r="I241" i="9"/>
  <c r="J241" i="9"/>
  <c r="I246" i="9"/>
  <c r="J246" i="9"/>
  <c r="J230" i="9" l="1"/>
  <c r="I230" i="9"/>
  <c r="F63" i="55"/>
  <c r="C23" i="55"/>
  <c r="J324" i="8"/>
  <c r="I324" i="8"/>
  <c r="H324" i="8"/>
  <c r="G324" i="8"/>
  <c r="F324" i="8"/>
  <c r="E324" i="8"/>
  <c r="J394" i="7"/>
  <c r="I394" i="7"/>
  <c r="H394" i="7"/>
  <c r="G394" i="7"/>
  <c r="F394" i="7"/>
  <c r="E394" i="7"/>
  <c r="J31" i="8" l="1"/>
  <c r="J32" i="8"/>
  <c r="J33" i="8"/>
  <c r="J34" i="8"/>
  <c r="J35" i="8"/>
  <c r="J36" i="8"/>
  <c r="J37" i="8"/>
  <c r="J30" i="8"/>
  <c r="J25" i="8"/>
  <c r="J26" i="8"/>
  <c r="J27" i="8"/>
  <c r="J28" i="8"/>
  <c r="J24" i="8"/>
  <c r="J18" i="8"/>
  <c r="J19" i="8"/>
  <c r="J20" i="8"/>
  <c r="J21" i="8"/>
  <c r="J22" i="8"/>
  <c r="J17" i="8"/>
  <c r="J14" i="8"/>
  <c r="J15" i="8"/>
  <c r="J13" i="8"/>
  <c r="J12" i="5"/>
  <c r="J13" i="5"/>
  <c r="J14" i="5"/>
  <c r="J15" i="5"/>
  <c r="J16" i="5"/>
  <c r="J17" i="5"/>
  <c r="J18" i="5"/>
  <c r="J11" i="5"/>
  <c r="J40" i="6"/>
  <c r="J39" i="6" s="1"/>
  <c r="J36" i="6"/>
  <c r="J37" i="6"/>
  <c r="J38" i="6"/>
  <c r="J35" i="6"/>
  <c r="J29" i="6"/>
  <c r="J30" i="6"/>
  <c r="J31" i="6"/>
  <c r="J32" i="6"/>
  <c r="J33" i="6"/>
  <c r="J28" i="6"/>
  <c r="J21" i="6"/>
  <c r="J22" i="6"/>
  <c r="J23" i="6"/>
  <c r="J24" i="6"/>
  <c r="J25" i="6"/>
  <c r="J26" i="6"/>
  <c r="J20" i="6"/>
  <c r="J14" i="6"/>
  <c r="J15" i="6"/>
  <c r="J16" i="6"/>
  <c r="J17" i="6"/>
  <c r="J18" i="6"/>
  <c r="J13" i="6"/>
  <c r="J21" i="1"/>
  <c r="J22" i="1"/>
  <c r="J23" i="1"/>
  <c r="J24" i="1"/>
  <c r="J25" i="1"/>
  <c r="J20" i="1"/>
  <c r="J14" i="1"/>
  <c r="J15" i="1"/>
  <c r="J16" i="1"/>
  <c r="J17" i="1"/>
  <c r="J18" i="1"/>
  <c r="J13" i="1"/>
  <c r="J19" i="10"/>
  <c r="J20" i="10"/>
  <c r="J21" i="10"/>
  <c r="J22" i="10"/>
  <c r="J23" i="10"/>
  <c r="J24" i="10"/>
  <c r="J25" i="10"/>
  <c r="J26" i="10"/>
  <c r="J27" i="10"/>
  <c r="J18" i="10"/>
  <c r="J14" i="10"/>
  <c r="J15" i="10"/>
  <c r="J16" i="10"/>
  <c r="J13" i="10"/>
  <c r="J30" i="9"/>
  <c r="J31" i="9"/>
  <c r="J32" i="9"/>
  <c r="J29" i="9"/>
  <c r="J25" i="9"/>
  <c r="J26" i="9"/>
  <c r="J27" i="9"/>
  <c r="J24" i="9"/>
  <c r="J14" i="9"/>
  <c r="J15" i="9"/>
  <c r="J16" i="9"/>
  <c r="J17" i="9"/>
  <c r="J18" i="9"/>
  <c r="J19" i="9"/>
  <c r="J20" i="9"/>
  <c r="J21" i="9"/>
  <c r="J22" i="9"/>
  <c r="J13" i="9"/>
  <c r="J45" i="7"/>
  <c r="J46" i="7"/>
  <c r="J47" i="7"/>
  <c r="J48" i="7"/>
  <c r="J49" i="7"/>
  <c r="J50" i="7"/>
  <c r="J51" i="7"/>
  <c r="J44" i="7"/>
  <c r="J33" i="7"/>
  <c r="J34" i="7"/>
  <c r="J35" i="7"/>
  <c r="J36" i="7"/>
  <c r="J37" i="7"/>
  <c r="J38" i="7"/>
  <c r="J32" i="7"/>
  <c r="J24" i="7"/>
  <c r="J25" i="7"/>
  <c r="J26" i="7"/>
  <c r="J27" i="7"/>
  <c r="J28" i="7"/>
  <c r="J29" i="7"/>
  <c r="J30" i="7"/>
  <c r="J23" i="7"/>
  <c r="J14" i="7"/>
  <c r="J15" i="7"/>
  <c r="J16" i="7"/>
  <c r="J17" i="7"/>
  <c r="J18" i="7"/>
  <c r="J19" i="7"/>
  <c r="J20" i="7"/>
  <c r="J21" i="7"/>
  <c r="J13" i="7"/>
  <c r="H353" i="6" l="1"/>
  <c r="G353" i="6"/>
  <c r="J358" i="6"/>
  <c r="I358" i="6"/>
  <c r="H358" i="6"/>
  <c r="G358" i="6"/>
  <c r="F358" i="6"/>
  <c r="E358" i="6"/>
  <c r="H346" i="6"/>
  <c r="G346" i="6"/>
  <c r="H338" i="6"/>
  <c r="G338" i="6"/>
  <c r="H331" i="6"/>
  <c r="G331" i="6"/>
  <c r="G330" i="6" l="1"/>
  <c r="G99" i="1"/>
  <c r="H99" i="1"/>
  <c r="F107" i="5" l="1"/>
  <c r="E107" i="5"/>
  <c r="G91" i="5"/>
  <c r="H91" i="5"/>
  <c r="I91" i="5"/>
  <c r="J91" i="5"/>
  <c r="F97" i="5"/>
  <c r="E97" i="5"/>
  <c r="M11" i="61"/>
  <c r="M12" i="55" l="1"/>
  <c r="H62" i="55" s="1"/>
  <c r="H61" i="55" s="1"/>
  <c r="Q12" i="90"/>
  <c r="K11" i="61"/>
  <c r="J11" i="61"/>
  <c r="L11" i="61"/>
  <c r="C11" i="61"/>
  <c r="C12" i="55" s="1"/>
  <c r="B11" i="61"/>
  <c r="B12" i="55" s="1"/>
  <c r="B11" i="55" s="1"/>
  <c r="J70" i="9"/>
  <c r="I70" i="9"/>
  <c r="J86" i="8"/>
  <c r="I86" i="8"/>
  <c r="J99" i="8"/>
  <c r="I99" i="8"/>
  <c r="J93" i="8"/>
  <c r="I93" i="8"/>
  <c r="J92" i="8"/>
  <c r="I92" i="8"/>
  <c r="J99" i="7"/>
  <c r="I99" i="7"/>
  <c r="J116" i="7"/>
  <c r="I116" i="7"/>
  <c r="J102" i="7"/>
  <c r="I102" i="7"/>
  <c r="J92" i="6"/>
  <c r="I92" i="6"/>
  <c r="J77" i="6"/>
  <c r="I77" i="6"/>
  <c r="J102" i="6"/>
  <c r="I102" i="6"/>
  <c r="J90" i="6"/>
  <c r="I90" i="6"/>
  <c r="J100" i="6"/>
  <c r="I100" i="6"/>
  <c r="J94" i="6"/>
  <c r="I94" i="6"/>
  <c r="J76" i="6"/>
  <c r="I76" i="6"/>
  <c r="J47" i="1"/>
  <c r="I47" i="1"/>
  <c r="J38" i="5"/>
  <c r="I38" i="5"/>
  <c r="I31" i="5"/>
  <c r="F11" i="61" s="1"/>
  <c r="J31" i="5"/>
  <c r="J36" i="5"/>
  <c r="I36" i="5"/>
  <c r="K12" i="55" l="1"/>
  <c r="O12" i="90"/>
  <c r="O11" i="90" s="1"/>
  <c r="F12" i="55"/>
  <c r="H12" i="90"/>
  <c r="H11" i="90" s="1"/>
  <c r="L12" i="55"/>
  <c r="P12" i="90"/>
  <c r="P11" i="90" s="1"/>
  <c r="Q11" i="90"/>
  <c r="AM12" i="90"/>
  <c r="AM11" i="90" s="1"/>
  <c r="J12" i="55"/>
  <c r="N12" i="90"/>
  <c r="N11" i="90" s="1"/>
  <c r="F11" i="55"/>
  <c r="M11" i="55"/>
  <c r="J11" i="55"/>
  <c r="L11" i="55"/>
  <c r="C11" i="55"/>
  <c r="G11" i="61"/>
  <c r="G12" i="55" l="1"/>
  <c r="G11" i="55" s="1"/>
  <c r="I12" i="90"/>
  <c r="K11" i="55"/>
  <c r="G101" i="5"/>
  <c r="H101" i="5"/>
  <c r="I101" i="5"/>
  <c r="J101" i="5"/>
  <c r="G79" i="5"/>
  <c r="H79" i="5"/>
  <c r="I79" i="5"/>
  <c r="J79" i="5"/>
  <c r="G69" i="5"/>
  <c r="H69" i="5"/>
  <c r="F62" i="55" l="1"/>
  <c r="F61" i="55" s="1"/>
  <c r="AL12" i="90"/>
  <c r="AL11" i="90" s="1"/>
  <c r="I11" i="90"/>
  <c r="G35" i="1"/>
  <c r="H35" i="1"/>
  <c r="I35" i="1"/>
  <c r="J35" i="1"/>
  <c r="G28" i="1"/>
  <c r="H28" i="1"/>
  <c r="H27" i="1" s="1"/>
  <c r="I28" i="1"/>
  <c r="I27" i="1" s="1"/>
  <c r="J28" i="1"/>
  <c r="J27" i="1" s="1"/>
  <c r="G165" i="1"/>
  <c r="H165" i="1"/>
  <c r="I165" i="1"/>
  <c r="J165" i="1"/>
  <c r="G158" i="1"/>
  <c r="G157" i="1" s="1"/>
  <c r="H158" i="1"/>
  <c r="H157" i="1" s="1"/>
  <c r="I158" i="1"/>
  <c r="I157" i="1" s="1"/>
  <c r="J158" i="1"/>
  <c r="J157" i="1" s="1"/>
  <c r="G117" i="1"/>
  <c r="H117" i="1"/>
  <c r="I117" i="1"/>
  <c r="J117" i="1"/>
  <c r="G109" i="1"/>
  <c r="H109" i="1"/>
  <c r="H107" i="1" s="1"/>
  <c r="I109" i="1"/>
  <c r="I107" i="1" s="1"/>
  <c r="J109" i="1"/>
  <c r="J107" i="1" s="1"/>
  <c r="G107" i="1"/>
  <c r="G92" i="1"/>
  <c r="G91" i="1" s="1"/>
  <c r="H92" i="1"/>
  <c r="H91" i="1" s="1"/>
  <c r="G27" i="1" l="1"/>
  <c r="H27" i="10"/>
  <c r="H26" i="10"/>
  <c r="H25" i="10"/>
  <c r="H24" i="10"/>
  <c r="H23" i="10"/>
  <c r="H22" i="10"/>
  <c r="H21" i="10"/>
  <c r="H20" i="10"/>
  <c r="H19" i="10"/>
  <c r="H18" i="10"/>
  <c r="H16" i="10"/>
  <c r="H15" i="10"/>
  <c r="H14" i="10"/>
  <c r="H13" i="10"/>
  <c r="J201" i="10"/>
  <c r="I201" i="10"/>
  <c r="F201" i="10"/>
  <c r="E201" i="10"/>
  <c r="H207" i="10"/>
  <c r="G207" i="10"/>
  <c r="H202" i="10"/>
  <c r="G202" i="10"/>
  <c r="J113" i="10"/>
  <c r="J108" i="10" s="1"/>
  <c r="I113" i="10"/>
  <c r="J110" i="10"/>
  <c r="I110" i="10"/>
  <c r="J107" i="10"/>
  <c r="I107" i="10"/>
  <c r="J105" i="10"/>
  <c r="I105" i="10"/>
  <c r="I103" i="10" s="1"/>
  <c r="H90" i="10"/>
  <c r="G90" i="10"/>
  <c r="J50" i="10"/>
  <c r="J48" i="10" s="1"/>
  <c r="I50" i="10"/>
  <c r="H63" i="10"/>
  <c r="H62" i="10"/>
  <c r="H61" i="10"/>
  <c r="H60" i="10"/>
  <c r="H59" i="10"/>
  <c r="H58" i="10"/>
  <c r="H57" i="10"/>
  <c r="H56" i="10"/>
  <c r="H55" i="10"/>
  <c r="H54" i="10"/>
  <c r="H52" i="10"/>
  <c r="H51" i="10"/>
  <c r="H50" i="10"/>
  <c r="H49" i="10"/>
  <c r="J189" i="10"/>
  <c r="I189" i="10"/>
  <c r="J184" i="10"/>
  <c r="I184" i="10"/>
  <c r="J170" i="10"/>
  <c r="I170" i="10"/>
  <c r="J165" i="10"/>
  <c r="I165" i="10"/>
  <c r="J152" i="10"/>
  <c r="I152" i="10"/>
  <c r="J147" i="10"/>
  <c r="I147" i="10"/>
  <c r="I146" i="10" s="1"/>
  <c r="J133" i="10"/>
  <c r="I133" i="10"/>
  <c r="J127" i="10"/>
  <c r="I127" i="10"/>
  <c r="J90" i="10"/>
  <c r="I90" i="10"/>
  <c r="J85" i="10"/>
  <c r="I85" i="10"/>
  <c r="J71" i="10"/>
  <c r="I71" i="10"/>
  <c r="J66" i="10"/>
  <c r="I66" i="10"/>
  <c r="J53" i="10"/>
  <c r="I53" i="10"/>
  <c r="I48" i="10"/>
  <c r="J35" i="10"/>
  <c r="I35" i="10"/>
  <c r="J30" i="10"/>
  <c r="I30" i="10"/>
  <c r="J17" i="10"/>
  <c r="I17" i="10"/>
  <c r="J12" i="10"/>
  <c r="I12" i="10"/>
  <c r="F230" i="9"/>
  <c r="E230" i="9"/>
  <c r="H246" i="9"/>
  <c r="G246" i="9"/>
  <c r="I125" i="10" l="1"/>
  <c r="I164" i="10"/>
  <c r="I108" i="10"/>
  <c r="I29" i="10"/>
  <c r="J103" i="10"/>
  <c r="J102" i="10" s="1"/>
  <c r="J29" i="10"/>
  <c r="J164" i="10"/>
  <c r="I102" i="10"/>
  <c r="J47" i="10"/>
  <c r="J125" i="10"/>
  <c r="J146" i="10"/>
  <c r="G201" i="10"/>
  <c r="H201" i="10"/>
  <c r="I84" i="10"/>
  <c r="J183" i="10"/>
  <c r="I65" i="10"/>
  <c r="I183" i="10"/>
  <c r="J65" i="10"/>
  <c r="J84" i="10"/>
  <c r="I47" i="10"/>
  <c r="J11" i="10"/>
  <c r="I11" i="10"/>
  <c r="H241" i="9"/>
  <c r="G241" i="9"/>
  <c r="H231" i="9"/>
  <c r="G231" i="9"/>
  <c r="J156" i="9"/>
  <c r="I156" i="9"/>
  <c r="J154" i="9"/>
  <c r="I154" i="9"/>
  <c r="J153" i="9"/>
  <c r="I153" i="9"/>
  <c r="J149" i="9"/>
  <c r="I149" i="9"/>
  <c r="J148" i="9"/>
  <c r="I148" i="9"/>
  <c r="J145" i="9"/>
  <c r="I145" i="9"/>
  <c r="J144" i="9"/>
  <c r="I144" i="9"/>
  <c r="J141" i="9"/>
  <c r="I141" i="9"/>
  <c r="J139" i="9"/>
  <c r="I139" i="9"/>
  <c r="J204" i="9"/>
  <c r="I204" i="9"/>
  <c r="J194" i="9"/>
  <c r="I194" i="9"/>
  <c r="H133" i="9"/>
  <c r="H132" i="9"/>
  <c r="H131" i="9"/>
  <c r="H130" i="9"/>
  <c r="H128" i="9"/>
  <c r="H127" i="9"/>
  <c r="H126" i="9"/>
  <c r="H125" i="9"/>
  <c r="H115" i="9"/>
  <c r="H116" i="9"/>
  <c r="H117" i="9"/>
  <c r="H118" i="9"/>
  <c r="H119" i="9"/>
  <c r="H120" i="9"/>
  <c r="H121" i="9"/>
  <c r="H122" i="9"/>
  <c r="H123" i="9"/>
  <c r="H114" i="9"/>
  <c r="G129" i="9"/>
  <c r="G124" i="9"/>
  <c r="F133" i="9"/>
  <c r="F132" i="9"/>
  <c r="F131" i="9"/>
  <c r="F130" i="9"/>
  <c r="F128" i="9"/>
  <c r="F127" i="9"/>
  <c r="F126" i="9"/>
  <c r="F125" i="9"/>
  <c r="F123" i="9"/>
  <c r="F122" i="9"/>
  <c r="F121" i="9"/>
  <c r="F120" i="9"/>
  <c r="F119" i="9"/>
  <c r="F118" i="9"/>
  <c r="F117" i="9"/>
  <c r="F116" i="9"/>
  <c r="F115" i="9"/>
  <c r="F114" i="9"/>
  <c r="H78" i="9"/>
  <c r="H77" i="9"/>
  <c r="H76" i="9"/>
  <c r="H75" i="9"/>
  <c r="H73" i="9"/>
  <c r="H72" i="9"/>
  <c r="H71" i="9"/>
  <c r="H70" i="9"/>
  <c r="H68" i="9"/>
  <c r="H67" i="9"/>
  <c r="H66" i="9"/>
  <c r="H65" i="9"/>
  <c r="H64" i="9"/>
  <c r="H63" i="9"/>
  <c r="H62" i="9"/>
  <c r="H61" i="9"/>
  <c r="H60" i="9"/>
  <c r="H59" i="9"/>
  <c r="H230" i="9" l="1"/>
  <c r="G230" i="9"/>
  <c r="J9" i="10"/>
  <c r="H32" i="9"/>
  <c r="H31" i="9"/>
  <c r="H30" i="9"/>
  <c r="H29" i="9"/>
  <c r="H27" i="9"/>
  <c r="H26" i="9"/>
  <c r="H25" i="9"/>
  <c r="H24" i="9"/>
  <c r="G28" i="9"/>
  <c r="H22" i="9"/>
  <c r="H21" i="9"/>
  <c r="H20" i="9"/>
  <c r="H19" i="9"/>
  <c r="H18" i="9"/>
  <c r="H17" i="9"/>
  <c r="H16" i="9"/>
  <c r="H15" i="9"/>
  <c r="H14" i="9"/>
  <c r="H13" i="9"/>
  <c r="J223" i="9"/>
  <c r="I223" i="9"/>
  <c r="J218" i="9"/>
  <c r="I218" i="9"/>
  <c r="J207" i="9"/>
  <c r="I207" i="9"/>
  <c r="J200" i="9"/>
  <c r="I200" i="9"/>
  <c r="J195" i="9"/>
  <c r="I195" i="9"/>
  <c r="J184" i="9"/>
  <c r="I184" i="9"/>
  <c r="J177" i="9"/>
  <c r="I177" i="9"/>
  <c r="J171" i="9"/>
  <c r="I171" i="9"/>
  <c r="J160" i="9"/>
  <c r="I160" i="9"/>
  <c r="J152" i="9"/>
  <c r="I152" i="9"/>
  <c r="J147" i="9"/>
  <c r="I147" i="9"/>
  <c r="J136" i="9"/>
  <c r="I136" i="9"/>
  <c r="J129" i="9"/>
  <c r="I129" i="9"/>
  <c r="J124" i="9"/>
  <c r="I124" i="9"/>
  <c r="J113" i="9"/>
  <c r="I113" i="9"/>
  <c r="J106" i="9"/>
  <c r="I106" i="9"/>
  <c r="J101" i="9"/>
  <c r="I101" i="9"/>
  <c r="J90" i="9"/>
  <c r="I90" i="9"/>
  <c r="J74" i="9"/>
  <c r="I74" i="9"/>
  <c r="J69" i="9"/>
  <c r="I69" i="9"/>
  <c r="J58" i="9"/>
  <c r="I58" i="9"/>
  <c r="J51" i="9"/>
  <c r="I51" i="9"/>
  <c r="J46" i="9"/>
  <c r="I46" i="9"/>
  <c r="J35" i="9"/>
  <c r="I35" i="9"/>
  <c r="J28" i="9"/>
  <c r="I28" i="9"/>
  <c r="J23" i="9"/>
  <c r="I23" i="9"/>
  <c r="J12" i="9"/>
  <c r="I12" i="9"/>
  <c r="J310" i="8"/>
  <c r="I310" i="8"/>
  <c r="J314" i="8"/>
  <c r="J312" i="8" s="1"/>
  <c r="I314" i="8"/>
  <c r="I312" i="8" s="1"/>
  <c r="J309" i="8"/>
  <c r="I309" i="8"/>
  <c r="J305" i="8"/>
  <c r="I305" i="8"/>
  <c r="J199" i="8"/>
  <c r="I199" i="8"/>
  <c r="J195" i="8"/>
  <c r="I195" i="8"/>
  <c r="I191" i="8" s="1"/>
  <c r="J194" i="8"/>
  <c r="I194" i="8"/>
  <c r="J190" i="8"/>
  <c r="I190" i="8"/>
  <c r="J341" i="8"/>
  <c r="I341" i="8"/>
  <c r="J335" i="8"/>
  <c r="I335" i="8"/>
  <c r="J328" i="8"/>
  <c r="J323" i="8" s="1"/>
  <c r="I328" i="8"/>
  <c r="I323" i="8" s="1"/>
  <c r="H341" i="8"/>
  <c r="G341" i="8"/>
  <c r="H335" i="8"/>
  <c r="G335" i="8"/>
  <c r="H328" i="8"/>
  <c r="H323" i="8" s="1"/>
  <c r="G328" i="8"/>
  <c r="E323" i="8"/>
  <c r="F323" i="8"/>
  <c r="E335" i="8"/>
  <c r="F335" i="8"/>
  <c r="E341" i="8"/>
  <c r="F341" i="8"/>
  <c r="F366" i="7"/>
  <c r="E366" i="7"/>
  <c r="I366" i="7"/>
  <c r="J366" i="7"/>
  <c r="J205" i="8"/>
  <c r="I205" i="8"/>
  <c r="J204" i="8"/>
  <c r="I204" i="8"/>
  <c r="J202" i="8"/>
  <c r="I202" i="8"/>
  <c r="J201" i="8"/>
  <c r="I201" i="8"/>
  <c r="J200" i="8"/>
  <c r="I200" i="8"/>
  <c r="J198" i="8"/>
  <c r="I198" i="8"/>
  <c r="J196" i="8"/>
  <c r="I196" i="8"/>
  <c r="J193" i="8"/>
  <c r="I193" i="8"/>
  <c r="J192" i="8"/>
  <c r="I192" i="8"/>
  <c r="J189" i="8"/>
  <c r="I189" i="8"/>
  <c r="I188" i="8"/>
  <c r="I187" i="8"/>
  <c r="J187" i="8"/>
  <c r="J186" i="8"/>
  <c r="I186" i="8"/>
  <c r="J185" i="8"/>
  <c r="I185" i="8"/>
  <c r="J183" i="8"/>
  <c r="J180" i="8" s="1"/>
  <c r="I183" i="8"/>
  <c r="J182" i="8"/>
  <c r="I182" i="8"/>
  <c r="J181" i="8"/>
  <c r="I181" i="8"/>
  <c r="J161" i="8"/>
  <c r="I161" i="8"/>
  <c r="I159" i="8" s="1"/>
  <c r="J156" i="8"/>
  <c r="J153" i="8" s="1"/>
  <c r="I156" i="8"/>
  <c r="J154" i="8"/>
  <c r="I154" i="8"/>
  <c r="J152" i="8"/>
  <c r="I152" i="8"/>
  <c r="J148" i="8"/>
  <c r="I148" i="8"/>
  <c r="H167" i="8"/>
  <c r="H166" i="8"/>
  <c r="H165" i="8"/>
  <c r="H164" i="8"/>
  <c r="H163" i="8"/>
  <c r="H162" i="8"/>
  <c r="H161" i="8"/>
  <c r="H160" i="8"/>
  <c r="H158" i="8"/>
  <c r="H157" i="8"/>
  <c r="H156" i="8"/>
  <c r="H155" i="8"/>
  <c r="H154" i="8"/>
  <c r="H152" i="8"/>
  <c r="H151" i="8"/>
  <c r="H150" i="8"/>
  <c r="H149" i="8"/>
  <c r="H148" i="8"/>
  <c r="H147" i="8"/>
  <c r="H144" i="8"/>
  <c r="H145" i="8"/>
  <c r="H143" i="8"/>
  <c r="G159" i="8"/>
  <c r="G153" i="8"/>
  <c r="G146" i="8"/>
  <c r="F167" i="8"/>
  <c r="F166" i="8"/>
  <c r="F165" i="8"/>
  <c r="F164" i="8"/>
  <c r="F163" i="8"/>
  <c r="F162" i="8"/>
  <c r="F161" i="8"/>
  <c r="F160" i="8"/>
  <c r="F158" i="8"/>
  <c r="F157" i="8"/>
  <c r="F156" i="8"/>
  <c r="F155" i="8"/>
  <c r="F154" i="8"/>
  <c r="F152" i="8"/>
  <c r="F151" i="8"/>
  <c r="F150" i="8"/>
  <c r="F149" i="8"/>
  <c r="F148" i="8"/>
  <c r="F147" i="8"/>
  <c r="F145" i="8"/>
  <c r="F144" i="8"/>
  <c r="F143" i="8"/>
  <c r="J306" i="8"/>
  <c r="I306" i="8"/>
  <c r="J299" i="8"/>
  <c r="I299" i="8"/>
  <c r="J295" i="8"/>
  <c r="I295" i="8"/>
  <c r="J284" i="8"/>
  <c r="I284" i="8"/>
  <c r="J278" i="8"/>
  <c r="I278" i="8"/>
  <c r="J271" i="8"/>
  <c r="I271" i="8"/>
  <c r="J267" i="8"/>
  <c r="I267" i="8"/>
  <c r="J256" i="8"/>
  <c r="I256" i="8"/>
  <c r="J250" i="8"/>
  <c r="I250" i="8"/>
  <c r="J243" i="8"/>
  <c r="I243" i="8"/>
  <c r="J239" i="8"/>
  <c r="I239" i="8"/>
  <c r="J238" i="8"/>
  <c r="I238" i="8"/>
  <c r="J227" i="8"/>
  <c r="I227" i="8"/>
  <c r="J220" i="8"/>
  <c r="I220" i="8"/>
  <c r="J213" i="8"/>
  <c r="I213" i="8"/>
  <c r="J208" i="8"/>
  <c r="I208" i="8"/>
  <c r="I207" i="8" s="1"/>
  <c r="I197" i="8"/>
  <c r="J159" i="8"/>
  <c r="J146" i="8"/>
  <c r="J142" i="8"/>
  <c r="I142" i="8"/>
  <c r="J131" i="8"/>
  <c r="I131" i="8"/>
  <c r="J119" i="8"/>
  <c r="I119" i="8"/>
  <c r="J112" i="8"/>
  <c r="I112" i="8"/>
  <c r="J108" i="8"/>
  <c r="I108" i="8"/>
  <c r="H105" i="8"/>
  <c r="H104" i="8"/>
  <c r="H103" i="8"/>
  <c r="H102" i="8"/>
  <c r="H101" i="8"/>
  <c r="H100" i="8"/>
  <c r="H99" i="8"/>
  <c r="H98" i="8"/>
  <c r="H96" i="8"/>
  <c r="H95" i="8"/>
  <c r="H94" i="8"/>
  <c r="H93" i="8"/>
  <c r="H92" i="8"/>
  <c r="H90" i="8"/>
  <c r="H89" i="8"/>
  <c r="H88" i="8"/>
  <c r="H87" i="8"/>
  <c r="H86" i="8"/>
  <c r="H85" i="8"/>
  <c r="H83" i="8"/>
  <c r="H82" i="8"/>
  <c r="H81" i="8"/>
  <c r="J105" i="8"/>
  <c r="I105" i="8"/>
  <c r="J104" i="8"/>
  <c r="I104" i="8"/>
  <c r="J102" i="8"/>
  <c r="I102" i="8"/>
  <c r="J95" i="8"/>
  <c r="I95" i="8"/>
  <c r="J94" i="8"/>
  <c r="I94" i="8"/>
  <c r="I91" i="8" s="1"/>
  <c r="J90" i="8"/>
  <c r="I90" i="8"/>
  <c r="J89" i="8"/>
  <c r="I89" i="8"/>
  <c r="J87" i="8"/>
  <c r="I87" i="8"/>
  <c r="J85" i="8"/>
  <c r="I85" i="8"/>
  <c r="J82" i="8"/>
  <c r="I82" i="8"/>
  <c r="J81" i="8"/>
  <c r="I81" i="8"/>
  <c r="F104" i="8"/>
  <c r="E104" i="8"/>
  <c r="F102" i="8"/>
  <c r="E102" i="8"/>
  <c r="F100" i="8"/>
  <c r="E100" i="8"/>
  <c r="F99" i="8"/>
  <c r="E99" i="8"/>
  <c r="F98" i="8"/>
  <c r="E98" i="8"/>
  <c r="F96" i="8"/>
  <c r="E96" i="8"/>
  <c r="F95" i="8"/>
  <c r="E95" i="8"/>
  <c r="F94" i="8"/>
  <c r="E94" i="8"/>
  <c r="F93" i="8"/>
  <c r="E93" i="8"/>
  <c r="E92" i="8"/>
  <c r="F90" i="8"/>
  <c r="E90" i="8"/>
  <c r="F89" i="8"/>
  <c r="E89" i="8"/>
  <c r="F88" i="8"/>
  <c r="E88" i="8"/>
  <c r="F87" i="8"/>
  <c r="E87" i="8"/>
  <c r="F86" i="8"/>
  <c r="E86" i="8"/>
  <c r="F85" i="8"/>
  <c r="E85" i="8"/>
  <c r="F83" i="8"/>
  <c r="E83" i="8"/>
  <c r="F82" i="8"/>
  <c r="E82" i="8"/>
  <c r="F81" i="8"/>
  <c r="E81" i="8"/>
  <c r="J69" i="8"/>
  <c r="I69" i="8"/>
  <c r="J63" i="8"/>
  <c r="I63" i="8"/>
  <c r="J56" i="8"/>
  <c r="I56" i="8"/>
  <c r="J52" i="8"/>
  <c r="I52" i="8"/>
  <c r="G29" i="8"/>
  <c r="G23" i="8"/>
  <c r="G16" i="8"/>
  <c r="H37" i="8"/>
  <c r="H36" i="8"/>
  <c r="H35" i="8"/>
  <c r="H34" i="8"/>
  <c r="H33" i="8"/>
  <c r="H32" i="8"/>
  <c r="H31" i="8"/>
  <c r="H30" i="8"/>
  <c r="H28" i="8"/>
  <c r="H27" i="8"/>
  <c r="H26" i="8"/>
  <c r="H25" i="8"/>
  <c r="H24" i="8"/>
  <c r="H22" i="8"/>
  <c r="H21" i="8"/>
  <c r="H20" i="8"/>
  <c r="H19" i="8"/>
  <c r="H18" i="8"/>
  <c r="H17" i="8"/>
  <c r="H15" i="8"/>
  <c r="H14" i="8"/>
  <c r="H13" i="8"/>
  <c r="J29" i="8"/>
  <c r="I29" i="8"/>
  <c r="J23" i="8"/>
  <c r="I23" i="8"/>
  <c r="J16" i="8"/>
  <c r="I16" i="8"/>
  <c r="J12" i="8"/>
  <c r="I12" i="8"/>
  <c r="H386" i="7"/>
  <c r="G386" i="7"/>
  <c r="H377" i="7"/>
  <c r="G377" i="7"/>
  <c r="H367" i="7"/>
  <c r="G367" i="7"/>
  <c r="G328" i="7"/>
  <c r="H328" i="7"/>
  <c r="I328" i="7"/>
  <c r="J328" i="7"/>
  <c r="J246" i="7"/>
  <c r="I246" i="7"/>
  <c r="I245" i="7"/>
  <c r="J245" i="7"/>
  <c r="J242" i="7"/>
  <c r="I242" i="7"/>
  <c r="I239" i="7" s="1"/>
  <c r="J238" i="7"/>
  <c r="I238" i="7"/>
  <c r="J235" i="7"/>
  <c r="I235" i="7"/>
  <c r="J234" i="7"/>
  <c r="I234" i="7"/>
  <c r="J233" i="7"/>
  <c r="I233" i="7"/>
  <c r="J227" i="7"/>
  <c r="I227" i="7"/>
  <c r="J221" i="7"/>
  <c r="I221" i="7"/>
  <c r="J220" i="7"/>
  <c r="I220" i="7"/>
  <c r="J219" i="7"/>
  <c r="I219" i="7"/>
  <c r="J218" i="7"/>
  <c r="I218" i="7"/>
  <c r="J216" i="7"/>
  <c r="I216" i="7"/>
  <c r="J209" i="7"/>
  <c r="I209" i="7"/>
  <c r="J208" i="7"/>
  <c r="J201" i="7" s="1"/>
  <c r="I208" i="7"/>
  <c r="J206" i="7"/>
  <c r="I206" i="7"/>
  <c r="J203" i="7"/>
  <c r="I203" i="7"/>
  <c r="J198" i="7"/>
  <c r="I198" i="7"/>
  <c r="J196" i="7"/>
  <c r="I196" i="7"/>
  <c r="J193" i="7"/>
  <c r="I193" i="7"/>
  <c r="J188" i="7"/>
  <c r="I188" i="7"/>
  <c r="J187" i="7"/>
  <c r="I187" i="7"/>
  <c r="J186" i="7"/>
  <c r="J182" i="7" s="1"/>
  <c r="I186" i="7"/>
  <c r="J185" i="7"/>
  <c r="I185" i="7"/>
  <c r="J184" i="7"/>
  <c r="I184" i="7"/>
  <c r="J183" i="7"/>
  <c r="I183" i="7"/>
  <c r="J173" i="7"/>
  <c r="I173" i="7"/>
  <c r="H209" i="7"/>
  <c r="H208" i="7"/>
  <c r="H207" i="7"/>
  <c r="H206" i="7"/>
  <c r="H205" i="7"/>
  <c r="H204" i="7"/>
  <c r="H203" i="7"/>
  <c r="H202" i="7"/>
  <c r="H198" i="7"/>
  <c r="H197" i="7"/>
  <c r="H196" i="7"/>
  <c r="H195" i="7"/>
  <c r="H194" i="7"/>
  <c r="H193" i="7"/>
  <c r="H192" i="7"/>
  <c r="H190" i="7"/>
  <c r="H189" i="7"/>
  <c r="H188" i="7"/>
  <c r="H187" i="7"/>
  <c r="H186" i="7"/>
  <c r="H185" i="7"/>
  <c r="H184" i="7"/>
  <c r="H183" i="7"/>
  <c r="H174" i="7"/>
  <c r="H175" i="7"/>
  <c r="H176" i="7"/>
  <c r="H177" i="7"/>
  <c r="H178" i="7"/>
  <c r="H179" i="7"/>
  <c r="H180" i="7"/>
  <c r="H181" i="7"/>
  <c r="H173" i="7"/>
  <c r="G201" i="7"/>
  <c r="G191" i="7"/>
  <c r="G182" i="7"/>
  <c r="F209" i="7"/>
  <c r="F208" i="7"/>
  <c r="F207" i="7"/>
  <c r="F206" i="7"/>
  <c r="F205" i="7"/>
  <c r="F204" i="7"/>
  <c r="F203" i="7"/>
  <c r="F202" i="7"/>
  <c r="F198" i="7"/>
  <c r="F197" i="7"/>
  <c r="F196" i="7"/>
  <c r="F195" i="7"/>
  <c r="F194" i="7"/>
  <c r="F193" i="7"/>
  <c r="F192" i="7"/>
  <c r="F190" i="7"/>
  <c r="F189" i="7"/>
  <c r="F188" i="7"/>
  <c r="F187" i="7"/>
  <c r="F186" i="7"/>
  <c r="F185" i="7"/>
  <c r="F184" i="7"/>
  <c r="F183" i="7"/>
  <c r="F181" i="7"/>
  <c r="F180" i="7"/>
  <c r="F179" i="7"/>
  <c r="F178" i="7"/>
  <c r="F177" i="7"/>
  <c r="F176" i="7"/>
  <c r="F175" i="7"/>
  <c r="F174" i="7"/>
  <c r="F173" i="7"/>
  <c r="J114" i="7"/>
  <c r="I114" i="7"/>
  <c r="J108" i="7"/>
  <c r="I108" i="7"/>
  <c r="J105" i="7"/>
  <c r="I105" i="7"/>
  <c r="H129" i="7"/>
  <c r="H128" i="7"/>
  <c r="H127" i="7"/>
  <c r="H126" i="7"/>
  <c r="H125" i="7"/>
  <c r="H124" i="7"/>
  <c r="H123" i="7"/>
  <c r="H122" i="7"/>
  <c r="H120" i="7"/>
  <c r="H119" i="7"/>
  <c r="H118" i="7"/>
  <c r="H117" i="7"/>
  <c r="H116" i="7"/>
  <c r="H115" i="7"/>
  <c r="H114" i="7"/>
  <c r="H112" i="7"/>
  <c r="H111" i="7"/>
  <c r="H110" i="7"/>
  <c r="H109" i="7"/>
  <c r="H108" i="7"/>
  <c r="H107" i="7"/>
  <c r="H106" i="7"/>
  <c r="H105" i="7"/>
  <c r="H103" i="7"/>
  <c r="H102" i="7"/>
  <c r="H101" i="7"/>
  <c r="H100" i="7"/>
  <c r="H99" i="7"/>
  <c r="H98" i="7"/>
  <c r="H97" i="7"/>
  <c r="H96" i="7"/>
  <c r="H95" i="7"/>
  <c r="H51" i="7"/>
  <c r="H50" i="7"/>
  <c r="H49" i="7"/>
  <c r="H48" i="7"/>
  <c r="H47" i="7"/>
  <c r="H46" i="7"/>
  <c r="H45" i="7"/>
  <c r="H44" i="7"/>
  <c r="G43" i="7"/>
  <c r="G31" i="7"/>
  <c r="G22" i="7"/>
  <c r="H38" i="7"/>
  <c r="H37" i="7"/>
  <c r="H36" i="7"/>
  <c r="H35" i="7"/>
  <c r="H34" i="7"/>
  <c r="H33" i="7"/>
  <c r="H32" i="7"/>
  <c r="H30" i="7"/>
  <c r="H29" i="7"/>
  <c r="H28" i="7"/>
  <c r="H27" i="7"/>
  <c r="H26" i="7"/>
  <c r="H25" i="7"/>
  <c r="H24" i="7"/>
  <c r="H23" i="7"/>
  <c r="H21" i="7"/>
  <c r="H20" i="7"/>
  <c r="H19" i="7"/>
  <c r="H18" i="7"/>
  <c r="H17" i="7"/>
  <c r="H16" i="7"/>
  <c r="H15" i="7"/>
  <c r="H14" i="7"/>
  <c r="H13" i="7"/>
  <c r="J355" i="7"/>
  <c r="I355" i="7"/>
  <c r="J347" i="7"/>
  <c r="I347" i="7"/>
  <c r="J338" i="7"/>
  <c r="I338" i="7"/>
  <c r="J317" i="7"/>
  <c r="I317" i="7"/>
  <c r="J309" i="7"/>
  <c r="I309" i="7"/>
  <c r="J300" i="7"/>
  <c r="I300" i="7"/>
  <c r="J290" i="7"/>
  <c r="I290" i="7"/>
  <c r="J278" i="7"/>
  <c r="I278" i="7"/>
  <c r="J270" i="7"/>
  <c r="I270" i="7"/>
  <c r="J261" i="7"/>
  <c r="I261" i="7"/>
  <c r="J251" i="7"/>
  <c r="I251" i="7"/>
  <c r="J222" i="7"/>
  <c r="J161" i="7"/>
  <c r="I161" i="7"/>
  <c r="J151" i="7"/>
  <c r="I151" i="7"/>
  <c r="J142" i="7"/>
  <c r="I142" i="7"/>
  <c r="J132" i="7"/>
  <c r="I132" i="7"/>
  <c r="J121" i="7"/>
  <c r="I121" i="7"/>
  <c r="I113" i="7"/>
  <c r="J94" i="7"/>
  <c r="I94" i="7"/>
  <c r="J83" i="7"/>
  <c r="I83" i="7"/>
  <c r="J73" i="7"/>
  <c r="I73" i="7"/>
  <c r="J64" i="7"/>
  <c r="I64" i="7"/>
  <c r="J54" i="7"/>
  <c r="I54" i="7"/>
  <c r="J43" i="7"/>
  <c r="I43" i="7"/>
  <c r="J31" i="7"/>
  <c r="I31" i="7"/>
  <c r="J22" i="7"/>
  <c r="I22" i="7"/>
  <c r="J12" i="7"/>
  <c r="I12" i="7"/>
  <c r="J330" i="6"/>
  <c r="I330" i="6"/>
  <c r="F330" i="6"/>
  <c r="E330" i="6"/>
  <c r="H40" i="6"/>
  <c r="H38" i="6"/>
  <c r="H37" i="6"/>
  <c r="H36" i="6"/>
  <c r="H35" i="6"/>
  <c r="H33" i="6"/>
  <c r="H32" i="6"/>
  <c r="H31" i="6"/>
  <c r="H30" i="6"/>
  <c r="H29" i="6"/>
  <c r="H28" i="6"/>
  <c r="H26" i="6"/>
  <c r="H25" i="6"/>
  <c r="H24" i="6"/>
  <c r="H23" i="6"/>
  <c r="H22" i="6"/>
  <c r="H21" i="6"/>
  <c r="H20" i="6"/>
  <c r="H18" i="6"/>
  <c r="H17" i="6"/>
  <c r="H16" i="6"/>
  <c r="H15" i="6"/>
  <c r="H14" i="6"/>
  <c r="H13" i="6"/>
  <c r="I39" i="6"/>
  <c r="J34" i="6"/>
  <c r="I34" i="6"/>
  <c r="J27" i="6"/>
  <c r="I27" i="6"/>
  <c r="J19" i="6"/>
  <c r="I19" i="6"/>
  <c r="F237" i="6"/>
  <c r="E237" i="6"/>
  <c r="J257" i="6"/>
  <c r="I257" i="6"/>
  <c r="I195" i="6"/>
  <c r="J195" i="6"/>
  <c r="J193" i="6"/>
  <c r="I193" i="6"/>
  <c r="J191" i="6"/>
  <c r="I191" i="6"/>
  <c r="J187" i="6"/>
  <c r="I187" i="6"/>
  <c r="J185" i="6"/>
  <c r="I185" i="6"/>
  <c r="J184" i="6"/>
  <c r="I184" i="6"/>
  <c r="J181" i="6"/>
  <c r="I181" i="6"/>
  <c r="J180" i="6"/>
  <c r="I180" i="6"/>
  <c r="J179" i="6"/>
  <c r="I179" i="6"/>
  <c r="J178" i="6"/>
  <c r="I178" i="6"/>
  <c r="J177" i="6"/>
  <c r="I177" i="6"/>
  <c r="J175" i="6"/>
  <c r="I175" i="6"/>
  <c r="J173" i="6"/>
  <c r="I173" i="6"/>
  <c r="J172" i="6"/>
  <c r="I172" i="6"/>
  <c r="J170" i="6"/>
  <c r="I170" i="6"/>
  <c r="J171" i="6"/>
  <c r="I171" i="6"/>
  <c r="J169" i="6"/>
  <c r="I169" i="6"/>
  <c r="G163" i="6"/>
  <c r="G158" i="6"/>
  <c r="G151" i="6"/>
  <c r="G143" i="6"/>
  <c r="F164" i="6"/>
  <c r="F162" i="6"/>
  <c r="F161" i="6"/>
  <c r="F160" i="6"/>
  <c r="F159" i="6"/>
  <c r="F157" i="6"/>
  <c r="F156" i="6"/>
  <c r="F155" i="6"/>
  <c r="F154" i="6"/>
  <c r="F153" i="6"/>
  <c r="F152" i="6"/>
  <c r="F150" i="6"/>
  <c r="F149" i="6"/>
  <c r="F148" i="6"/>
  <c r="F147" i="6"/>
  <c r="F146" i="6"/>
  <c r="F145" i="6"/>
  <c r="F144" i="6"/>
  <c r="F142" i="6"/>
  <c r="F141" i="6"/>
  <c r="F140" i="6"/>
  <c r="F139" i="6"/>
  <c r="F138" i="6"/>
  <c r="F137" i="6"/>
  <c r="H138" i="6"/>
  <c r="H139" i="6"/>
  <c r="H140" i="6"/>
  <c r="H141" i="6"/>
  <c r="H142" i="6"/>
  <c r="H137" i="6"/>
  <c r="J93" i="6"/>
  <c r="I93" i="6"/>
  <c r="J88" i="6"/>
  <c r="I88" i="6"/>
  <c r="J84" i="6"/>
  <c r="I84" i="6"/>
  <c r="J80" i="6"/>
  <c r="I80" i="6"/>
  <c r="J79" i="6"/>
  <c r="I79" i="6"/>
  <c r="J78" i="6"/>
  <c r="I78" i="6"/>
  <c r="H102" i="6"/>
  <c r="H100" i="6"/>
  <c r="H99" i="6"/>
  <c r="H98" i="6"/>
  <c r="H97" i="6"/>
  <c r="H95" i="6"/>
  <c r="H94" i="6"/>
  <c r="H93" i="6"/>
  <c r="H92" i="6"/>
  <c r="H91" i="6"/>
  <c r="H90" i="6"/>
  <c r="H89" i="1"/>
  <c r="H88" i="1"/>
  <c r="H87" i="1"/>
  <c r="H86" i="1"/>
  <c r="H85" i="1"/>
  <c r="H84" i="1"/>
  <c r="H78" i="1"/>
  <c r="H79" i="1"/>
  <c r="H80" i="1"/>
  <c r="H81" i="1"/>
  <c r="H82" i="1"/>
  <c r="H77" i="1"/>
  <c r="G83" i="1"/>
  <c r="H61" i="5"/>
  <c r="H62" i="5"/>
  <c r="H63" i="5"/>
  <c r="H64" i="5"/>
  <c r="H65" i="5"/>
  <c r="H66" i="5"/>
  <c r="H67" i="5"/>
  <c r="H60" i="5"/>
  <c r="J84" i="8" l="1"/>
  <c r="J91" i="8"/>
  <c r="J266" i="8"/>
  <c r="J191" i="8"/>
  <c r="J179" i="8" s="1"/>
  <c r="I206" i="9"/>
  <c r="I97" i="8"/>
  <c r="J80" i="8"/>
  <c r="J51" i="8"/>
  <c r="I84" i="8"/>
  <c r="I266" i="8"/>
  <c r="J53" i="7"/>
  <c r="J289" i="7"/>
  <c r="I104" i="7"/>
  <c r="J97" i="8"/>
  <c r="J207" i="8"/>
  <c r="H23" i="8"/>
  <c r="G323" i="8"/>
  <c r="I53" i="7"/>
  <c r="I249" i="7"/>
  <c r="I289" i="7"/>
  <c r="I51" i="8"/>
  <c r="H16" i="8"/>
  <c r="I146" i="8"/>
  <c r="I153" i="8"/>
  <c r="J184" i="8"/>
  <c r="J197" i="8"/>
  <c r="J158" i="9"/>
  <c r="J206" i="9"/>
  <c r="I158" i="9"/>
  <c r="I180" i="8"/>
  <c r="H29" i="8"/>
  <c r="I80" i="8"/>
  <c r="I184" i="8"/>
  <c r="J191" i="7"/>
  <c r="J231" i="7"/>
  <c r="J113" i="7"/>
  <c r="I182" i="7"/>
  <c r="I191" i="7"/>
  <c r="I222" i="7"/>
  <c r="H366" i="7"/>
  <c r="G366" i="7"/>
  <c r="I172" i="7"/>
  <c r="J172" i="7"/>
  <c r="J212" i="7"/>
  <c r="J239" i="7"/>
  <c r="I201" i="7"/>
  <c r="I212" i="7"/>
  <c r="I231" i="7"/>
  <c r="H22" i="7"/>
  <c r="H330" i="6"/>
  <c r="I11" i="8"/>
  <c r="I11" i="7"/>
  <c r="J11" i="8"/>
  <c r="I79" i="8"/>
  <c r="J79" i="8"/>
  <c r="J34" i="9"/>
  <c r="J135" i="9"/>
  <c r="J183" i="9"/>
  <c r="I34" i="9"/>
  <c r="I135" i="9"/>
  <c r="I183" i="9"/>
  <c r="I112" i="9"/>
  <c r="I89" i="9"/>
  <c r="J11" i="9"/>
  <c r="H28" i="9"/>
  <c r="J112" i="9"/>
  <c r="J89" i="9"/>
  <c r="I57" i="9"/>
  <c r="J57" i="9"/>
  <c r="I11" i="9"/>
  <c r="J294" i="8"/>
  <c r="I294" i="8"/>
  <c r="I141" i="8"/>
  <c r="J141" i="8"/>
  <c r="I107" i="8"/>
  <c r="J107" i="8"/>
  <c r="J249" i="7"/>
  <c r="J327" i="7"/>
  <c r="H31" i="7"/>
  <c r="J104" i="7"/>
  <c r="J11" i="7"/>
  <c r="H43" i="7"/>
  <c r="I327" i="7"/>
  <c r="I131" i="7"/>
  <c r="J131" i="7"/>
  <c r="I93" i="7"/>
  <c r="H88" i="6"/>
  <c r="H87" i="6"/>
  <c r="H86" i="6"/>
  <c r="H85" i="6"/>
  <c r="H84" i="6"/>
  <c r="H83" i="6"/>
  <c r="H82" i="6"/>
  <c r="H80" i="6"/>
  <c r="H79" i="6"/>
  <c r="H78" i="6"/>
  <c r="H77" i="6"/>
  <c r="H76" i="6"/>
  <c r="H75" i="6"/>
  <c r="J326" i="6"/>
  <c r="I326" i="6"/>
  <c r="J321" i="6"/>
  <c r="I321" i="6"/>
  <c r="J314" i="6"/>
  <c r="I314" i="6"/>
  <c r="J306" i="6"/>
  <c r="I306" i="6"/>
  <c r="J299" i="6"/>
  <c r="I299" i="6"/>
  <c r="J295" i="6"/>
  <c r="I295" i="6"/>
  <c r="J290" i="6"/>
  <c r="I290" i="6"/>
  <c r="J283" i="6"/>
  <c r="I283" i="6"/>
  <c r="J275" i="6"/>
  <c r="I275" i="6"/>
  <c r="J268" i="6"/>
  <c r="I268" i="6"/>
  <c r="J264" i="6"/>
  <c r="I264" i="6"/>
  <c r="J259" i="6"/>
  <c r="I259" i="6"/>
  <c r="J252" i="6"/>
  <c r="I252" i="6"/>
  <c r="J244" i="6"/>
  <c r="I244" i="6"/>
  <c r="J237" i="6"/>
  <c r="I237" i="6"/>
  <c r="J228" i="6"/>
  <c r="I228" i="6"/>
  <c r="J223" i="6"/>
  <c r="I223" i="6"/>
  <c r="J215" i="6"/>
  <c r="I215" i="6"/>
  <c r="J207" i="6"/>
  <c r="I207" i="6"/>
  <c r="J194" i="6"/>
  <c r="I194" i="6"/>
  <c r="J189" i="6"/>
  <c r="I189" i="6"/>
  <c r="J182" i="6"/>
  <c r="I182" i="6"/>
  <c r="J174" i="6"/>
  <c r="I174" i="6"/>
  <c r="J163" i="6"/>
  <c r="I163" i="6"/>
  <c r="J158" i="6"/>
  <c r="I158" i="6"/>
  <c r="J151" i="6"/>
  <c r="I151" i="6"/>
  <c r="J143" i="6"/>
  <c r="I143" i="6"/>
  <c r="J136" i="6"/>
  <c r="I136" i="6"/>
  <c r="J132" i="6"/>
  <c r="I132" i="6"/>
  <c r="J127" i="6"/>
  <c r="I127" i="6"/>
  <c r="J120" i="6"/>
  <c r="I120" i="6"/>
  <c r="J112" i="6"/>
  <c r="I112" i="6"/>
  <c r="J105" i="6"/>
  <c r="I105" i="6"/>
  <c r="J101" i="6"/>
  <c r="I101" i="6"/>
  <c r="J96" i="6"/>
  <c r="I96" i="6"/>
  <c r="J89" i="6"/>
  <c r="I89" i="6"/>
  <c r="J81" i="6"/>
  <c r="I81" i="6"/>
  <c r="J74" i="6"/>
  <c r="I74" i="6"/>
  <c r="J70" i="6"/>
  <c r="I70" i="6"/>
  <c r="J65" i="6"/>
  <c r="I65" i="6"/>
  <c r="J58" i="6"/>
  <c r="I58" i="6"/>
  <c r="J50" i="6"/>
  <c r="I50" i="6"/>
  <c r="J43" i="6"/>
  <c r="I43" i="6"/>
  <c r="J12" i="6"/>
  <c r="I12" i="6"/>
  <c r="H178" i="1"/>
  <c r="G178" i="1"/>
  <c r="J103" i="1"/>
  <c r="I103" i="1"/>
  <c r="J102" i="1"/>
  <c r="I102" i="1"/>
  <c r="J101" i="1"/>
  <c r="I101" i="1"/>
  <c r="J97" i="1"/>
  <c r="I97" i="1"/>
  <c r="J95" i="1"/>
  <c r="I95" i="1"/>
  <c r="J94" i="1"/>
  <c r="I94" i="1"/>
  <c r="F89" i="1"/>
  <c r="F88" i="1"/>
  <c r="F87" i="1"/>
  <c r="F86" i="1"/>
  <c r="F85" i="1"/>
  <c r="F84" i="1"/>
  <c r="F82" i="1"/>
  <c r="F81" i="1"/>
  <c r="F80" i="1"/>
  <c r="F79" i="1"/>
  <c r="F78" i="1"/>
  <c r="F77" i="1"/>
  <c r="H57" i="1"/>
  <c r="H56" i="1"/>
  <c r="H55" i="1"/>
  <c r="H54" i="1"/>
  <c r="H53" i="1"/>
  <c r="H52" i="1"/>
  <c r="H45" i="1"/>
  <c r="H46" i="1"/>
  <c r="H47" i="1"/>
  <c r="H48" i="1"/>
  <c r="H49" i="1"/>
  <c r="H50" i="1"/>
  <c r="J149" i="1"/>
  <c r="I149" i="1"/>
  <c r="J142" i="1"/>
  <c r="J141" i="1" s="1"/>
  <c r="I142" i="1"/>
  <c r="J133" i="1"/>
  <c r="I133" i="1"/>
  <c r="J126" i="1"/>
  <c r="I126" i="1"/>
  <c r="I125" i="1" s="1"/>
  <c r="J83" i="1"/>
  <c r="I83" i="1"/>
  <c r="J76" i="1"/>
  <c r="J75" i="1" s="1"/>
  <c r="I76" i="1"/>
  <c r="J67" i="1"/>
  <c r="I67" i="1"/>
  <c r="J60" i="1"/>
  <c r="I60" i="1"/>
  <c r="I59" i="1" s="1"/>
  <c r="J51" i="1"/>
  <c r="I51" i="1"/>
  <c r="J44" i="1"/>
  <c r="J43" i="1" s="1"/>
  <c r="J19" i="1"/>
  <c r="I19" i="1"/>
  <c r="J12" i="1"/>
  <c r="I12" i="1"/>
  <c r="J114" i="5"/>
  <c r="I114" i="5"/>
  <c r="H114" i="5"/>
  <c r="G114" i="5"/>
  <c r="F114" i="5"/>
  <c r="E114" i="5"/>
  <c r="I75" i="1" l="1"/>
  <c r="I141" i="1"/>
  <c r="J59" i="1"/>
  <c r="J125" i="1"/>
  <c r="J93" i="7"/>
  <c r="I179" i="8"/>
  <c r="I171" i="7"/>
  <c r="J171" i="7"/>
  <c r="J211" i="7"/>
  <c r="I211" i="7"/>
  <c r="I298" i="6"/>
  <c r="J166" i="6"/>
  <c r="J236" i="6"/>
  <c r="I267" i="6"/>
  <c r="I11" i="1"/>
  <c r="J9" i="7"/>
  <c r="I92" i="1"/>
  <c r="J92" i="1"/>
  <c r="I99" i="1"/>
  <c r="J99" i="1"/>
  <c r="J11" i="1"/>
  <c r="J9" i="8"/>
  <c r="J9" i="9"/>
  <c r="J298" i="6"/>
  <c r="J267" i="6"/>
  <c r="I104" i="6"/>
  <c r="I166" i="6"/>
  <c r="I236" i="6"/>
  <c r="J73" i="6"/>
  <c r="J135" i="6"/>
  <c r="I135" i="6"/>
  <c r="J104" i="6"/>
  <c r="I73" i="6"/>
  <c r="J11" i="6"/>
  <c r="I11" i="6"/>
  <c r="I44" i="1"/>
  <c r="I43" i="1" s="1"/>
  <c r="J91" i="1" l="1"/>
  <c r="J9" i="1" s="1"/>
  <c r="I91" i="1"/>
  <c r="J9" i="6"/>
  <c r="J77" i="5" l="1"/>
  <c r="I77" i="5"/>
  <c r="J76" i="5"/>
  <c r="I76" i="5"/>
  <c r="J70" i="5"/>
  <c r="I70" i="5"/>
  <c r="I69" i="5" l="1"/>
  <c r="J69" i="5"/>
  <c r="F67" i="5"/>
  <c r="F66" i="5"/>
  <c r="F65" i="5"/>
  <c r="F64" i="5"/>
  <c r="F63" i="5"/>
  <c r="F62" i="5"/>
  <c r="F61" i="5"/>
  <c r="F60" i="5"/>
  <c r="H32" i="5"/>
  <c r="H33" i="5"/>
  <c r="H34" i="5"/>
  <c r="H35" i="5"/>
  <c r="H36" i="5"/>
  <c r="H37" i="5"/>
  <c r="H38" i="5"/>
  <c r="J59" i="5" l="1"/>
  <c r="I59" i="5"/>
  <c r="J49" i="5"/>
  <c r="I49" i="5"/>
  <c r="I30" i="5"/>
  <c r="J20" i="5"/>
  <c r="I20" i="5"/>
  <c r="J10" i="5"/>
  <c r="I10" i="5"/>
  <c r="J30" i="5" l="1"/>
  <c r="J8" i="5" l="1"/>
  <c r="G8" i="57" l="1"/>
  <c r="E24" i="57"/>
  <c r="D24" i="57"/>
  <c r="E43" i="57"/>
  <c r="D43" i="57"/>
  <c r="G32" i="57"/>
  <c r="F32" i="57"/>
  <c r="E32" i="57"/>
  <c r="D32" i="57"/>
  <c r="G27" i="57"/>
  <c r="F27" i="57"/>
  <c r="E27" i="57"/>
  <c r="D27" i="57"/>
  <c r="G26" i="57"/>
  <c r="F26" i="57"/>
  <c r="E26" i="57"/>
  <c r="D26" i="57"/>
  <c r="E20" i="57"/>
  <c r="D20" i="57"/>
  <c r="E14" i="57"/>
  <c r="D14" i="57"/>
  <c r="E8" i="57" l="1"/>
  <c r="E66" i="54"/>
  <c r="F66" i="54"/>
  <c r="F75" i="54"/>
  <c r="E75" i="54"/>
  <c r="E8" i="52"/>
  <c r="D8" i="52"/>
  <c r="H56" i="35" l="1"/>
  <c r="I56" i="35"/>
  <c r="H58" i="35" l="1"/>
  <c r="I58" i="35"/>
  <c r="I357" i="35"/>
  <c r="H357" i="35"/>
  <c r="I322" i="35"/>
  <c r="H322" i="35"/>
  <c r="I288" i="35"/>
  <c r="H288" i="35"/>
  <c r="G288" i="35"/>
  <c r="F288" i="35"/>
  <c r="I255" i="35"/>
  <c r="H255" i="35"/>
  <c r="I220" i="35"/>
  <c r="H220" i="35"/>
  <c r="I81" i="35"/>
  <c r="H81" i="35"/>
  <c r="I353" i="35"/>
  <c r="H353" i="35"/>
  <c r="G353" i="35"/>
  <c r="F353" i="35"/>
  <c r="I318" i="35"/>
  <c r="H318" i="35"/>
  <c r="I284" i="35"/>
  <c r="H284" i="35"/>
  <c r="G284" i="35"/>
  <c r="F284" i="35"/>
  <c r="I251" i="35"/>
  <c r="H251" i="35"/>
  <c r="I216" i="35"/>
  <c r="H216" i="35"/>
  <c r="I77" i="35"/>
  <c r="H77" i="35"/>
  <c r="I348" i="35"/>
  <c r="H348" i="35"/>
  <c r="I313" i="35"/>
  <c r="H313" i="35"/>
  <c r="I279" i="35"/>
  <c r="H279" i="35"/>
  <c r="I246" i="35"/>
  <c r="H246" i="35"/>
  <c r="I211" i="35"/>
  <c r="H211" i="35"/>
  <c r="I72" i="35"/>
  <c r="H72" i="35"/>
  <c r="I343" i="35"/>
  <c r="H343" i="35"/>
  <c r="G343" i="35"/>
  <c r="F343" i="35"/>
  <c r="I308" i="35"/>
  <c r="H308" i="35"/>
  <c r="I274" i="35"/>
  <c r="H274" i="35"/>
  <c r="G274" i="35"/>
  <c r="F274" i="35"/>
  <c r="I241" i="35"/>
  <c r="H241" i="35"/>
  <c r="I206" i="35"/>
  <c r="H206" i="35"/>
  <c r="I67" i="35"/>
  <c r="H67" i="35"/>
  <c r="I337" i="35"/>
  <c r="H337" i="35"/>
  <c r="I302" i="35"/>
  <c r="H302" i="35"/>
  <c r="I268" i="35"/>
  <c r="H268" i="35"/>
  <c r="G268" i="35"/>
  <c r="F268" i="35"/>
  <c r="I235" i="35"/>
  <c r="H235" i="35"/>
  <c r="I200" i="35"/>
  <c r="H200" i="35"/>
  <c r="I61" i="35"/>
  <c r="H61" i="35"/>
  <c r="I334" i="35"/>
  <c r="H334" i="35"/>
  <c r="I299" i="35"/>
  <c r="H299" i="35"/>
  <c r="I232" i="35"/>
  <c r="H232" i="35"/>
  <c r="I197" i="35"/>
  <c r="H197" i="35"/>
  <c r="I332" i="35"/>
  <c r="H332" i="35"/>
  <c r="G332" i="35"/>
  <c r="F332" i="35"/>
  <c r="I297" i="35"/>
  <c r="H297" i="35"/>
  <c r="I230" i="35"/>
  <c r="H230" i="35"/>
  <c r="I195" i="35"/>
  <c r="H195" i="35"/>
  <c r="F78" i="54"/>
  <c r="F74" i="54" s="1"/>
  <c r="E78" i="54"/>
  <c r="F70" i="54"/>
  <c r="E70" i="54"/>
  <c r="F63" i="54"/>
  <c r="E63" i="54"/>
  <c r="F54" i="54"/>
  <c r="E54" i="54"/>
  <c r="H229" i="35" l="1"/>
  <c r="I194" i="35"/>
  <c r="I296" i="35"/>
  <c r="I331" i="35"/>
  <c r="I55" i="35"/>
  <c r="I229" i="35"/>
  <c r="H55" i="35"/>
  <c r="H194" i="35"/>
  <c r="H296" i="35"/>
  <c r="H331" i="35"/>
  <c r="E74" i="54"/>
  <c r="E62" i="54"/>
  <c r="F62" i="54"/>
  <c r="F51" i="54" l="1"/>
  <c r="E51" i="54"/>
  <c r="F47" i="54"/>
  <c r="E47" i="54"/>
  <c r="F41" i="54"/>
  <c r="E41" i="54"/>
  <c r="F36" i="54"/>
  <c r="E36" i="54"/>
  <c r="F33" i="54"/>
  <c r="E33" i="54"/>
  <c r="F28" i="54"/>
  <c r="E28" i="54"/>
  <c r="F26" i="54"/>
  <c r="E26" i="54"/>
  <c r="F24" i="54"/>
  <c r="E24" i="54"/>
  <c r="F22" i="54"/>
  <c r="E22" i="54"/>
  <c r="F16" i="54"/>
  <c r="F15" i="54" s="1"/>
  <c r="E16" i="54"/>
  <c r="E15" i="54" s="1"/>
  <c r="F9" i="54"/>
  <c r="F8" i="54" s="1"/>
  <c r="E9" i="54"/>
  <c r="E8" i="54" s="1"/>
  <c r="H187" i="35"/>
  <c r="I187" i="35"/>
  <c r="H183" i="35"/>
  <c r="H184" i="35"/>
  <c r="H178" i="35"/>
  <c r="H179" i="35"/>
  <c r="H180" i="35"/>
  <c r="H173" i="35"/>
  <c r="H174" i="35"/>
  <c r="H175" i="35"/>
  <c r="G338" i="35"/>
  <c r="F21" i="54" l="1"/>
  <c r="F32" i="54"/>
  <c r="F279" i="35"/>
  <c r="G279" i="35"/>
  <c r="E21" i="54"/>
  <c r="E32" i="54"/>
  <c r="E46" i="54"/>
  <c r="F46" i="54"/>
  <c r="F7" i="54" s="1"/>
  <c r="E7" i="54" l="1"/>
  <c r="H167" i="35"/>
  <c r="H168" i="35"/>
  <c r="H169" i="35"/>
  <c r="H170" i="35"/>
  <c r="H264" i="35"/>
  <c r="H263" i="35" s="1"/>
  <c r="I264" i="35"/>
  <c r="I263" i="35" s="1"/>
  <c r="E8" i="53" l="1"/>
  <c r="D8" i="53"/>
  <c r="E8" i="51"/>
  <c r="D8" i="51"/>
  <c r="E8" i="50"/>
  <c r="D8" i="50"/>
  <c r="E8" i="49"/>
  <c r="D8" i="49"/>
  <c r="E8" i="47"/>
  <c r="D8" i="47"/>
  <c r="E8" i="48"/>
  <c r="D8" i="48"/>
  <c r="E8" i="46"/>
  <c r="D8" i="46"/>
  <c r="E8" i="44"/>
  <c r="D8" i="44"/>
  <c r="E8" i="43"/>
  <c r="D8" i="43"/>
  <c r="E8" i="42"/>
  <c r="D8" i="42"/>
  <c r="E8" i="41" l="1"/>
  <c r="D8" i="41"/>
  <c r="E8" i="40"/>
  <c r="D8" i="40"/>
  <c r="E8" i="39"/>
  <c r="D8" i="39"/>
  <c r="E8" i="38"/>
  <c r="D8" i="38"/>
  <c r="E8" i="37"/>
  <c r="D8" i="37"/>
  <c r="F8" i="36"/>
  <c r="E8" i="36"/>
  <c r="F127" i="34" l="1"/>
  <c r="F126" i="34" s="1"/>
  <c r="E127" i="34"/>
  <c r="E126" i="34" s="1"/>
  <c r="H126" i="34"/>
  <c r="G126" i="34"/>
  <c r="F125" i="34"/>
  <c r="E125" i="34"/>
  <c r="F124" i="34"/>
  <c r="E124" i="34"/>
  <c r="F123" i="34"/>
  <c r="E123" i="34"/>
  <c r="F122" i="34"/>
  <c r="E122" i="34"/>
  <c r="F121" i="34"/>
  <c r="E121" i="34"/>
  <c r="F120" i="34"/>
  <c r="E120" i="34"/>
  <c r="F119" i="34"/>
  <c r="E119" i="34"/>
  <c r="F118" i="34"/>
  <c r="E118" i="34"/>
  <c r="F117" i="34"/>
  <c r="E117" i="34"/>
  <c r="F116" i="34"/>
  <c r="E116" i="34"/>
  <c r="H115" i="34"/>
  <c r="G115" i="34"/>
  <c r="H102" i="34"/>
  <c r="G102" i="34"/>
  <c r="F102" i="34"/>
  <c r="E102" i="34"/>
  <c r="H97" i="34"/>
  <c r="G97" i="34"/>
  <c r="F97" i="34"/>
  <c r="E97" i="34"/>
  <c r="H96" i="34"/>
  <c r="G96" i="34"/>
  <c r="F96" i="34"/>
  <c r="E96" i="34"/>
  <c r="F93" i="34"/>
  <c r="F92" i="34"/>
  <c r="E92" i="34"/>
  <c r="F90" i="34"/>
  <c r="E90" i="34"/>
  <c r="F87" i="34"/>
  <c r="E87" i="34"/>
  <c r="F86" i="34"/>
  <c r="E86" i="34"/>
  <c r="H85" i="34"/>
  <c r="G85" i="34"/>
  <c r="F77" i="34"/>
  <c r="E77" i="34"/>
  <c r="F76" i="34"/>
  <c r="E76" i="34"/>
  <c r="F75" i="34"/>
  <c r="E75" i="34"/>
  <c r="F74" i="34"/>
  <c r="E74" i="34"/>
  <c r="H73" i="34"/>
  <c r="G73" i="34"/>
  <c r="H61" i="34"/>
  <c r="G61" i="34"/>
  <c r="F61" i="34"/>
  <c r="E61" i="34"/>
  <c r="H50" i="34"/>
  <c r="G50" i="34"/>
  <c r="F50" i="34"/>
  <c r="E50" i="34"/>
  <c r="F32" i="34"/>
  <c r="E32" i="34"/>
  <c r="F30" i="34"/>
  <c r="E30" i="34"/>
  <c r="F27" i="34"/>
  <c r="E27" i="34"/>
  <c r="F24" i="34"/>
  <c r="E24" i="34"/>
  <c r="H23" i="34"/>
  <c r="G23" i="34"/>
  <c r="H11" i="34"/>
  <c r="G11" i="34"/>
  <c r="F11" i="34"/>
  <c r="E11" i="34"/>
  <c r="F86" i="32"/>
  <c r="F85" i="32" s="1"/>
  <c r="E86" i="32"/>
  <c r="E85" i="32" s="1"/>
  <c r="H85" i="32"/>
  <c r="G85" i="32"/>
  <c r="H79" i="32"/>
  <c r="G79" i="32"/>
  <c r="F79" i="32"/>
  <c r="E79" i="32"/>
  <c r="H74" i="32"/>
  <c r="G74" i="32"/>
  <c r="F74" i="32"/>
  <c r="E74" i="32"/>
  <c r="H63" i="32"/>
  <c r="G63" i="32"/>
  <c r="F63" i="32"/>
  <c r="E63" i="32"/>
  <c r="H62" i="32"/>
  <c r="G62" i="32"/>
  <c r="F62" i="32"/>
  <c r="E62" i="32"/>
  <c r="H56" i="32"/>
  <c r="G56" i="32"/>
  <c r="F56" i="32"/>
  <c r="E56" i="32"/>
  <c r="F48" i="32"/>
  <c r="E48" i="32"/>
  <c r="F46" i="32"/>
  <c r="E46" i="32"/>
  <c r="F45" i="32"/>
  <c r="E45" i="32"/>
  <c r="F44" i="32"/>
  <c r="E44" i="32"/>
  <c r="H43" i="32"/>
  <c r="G43" i="32"/>
  <c r="H29" i="32"/>
  <c r="G29" i="32"/>
  <c r="F29" i="32"/>
  <c r="E29" i="32"/>
  <c r="H23" i="32"/>
  <c r="G23" i="32"/>
  <c r="F23" i="32"/>
  <c r="E23" i="32"/>
  <c r="F21" i="32"/>
  <c r="E21" i="32"/>
  <c r="F19" i="32"/>
  <c r="E19" i="32"/>
  <c r="H17" i="32"/>
  <c r="G17" i="32"/>
  <c r="H11" i="32"/>
  <c r="H9" i="32" s="1"/>
  <c r="G11" i="32"/>
  <c r="F11" i="32"/>
  <c r="E11" i="32"/>
  <c r="F87" i="31"/>
  <c r="E87" i="31"/>
  <c r="E86" i="31" s="1"/>
  <c r="H86" i="31"/>
  <c r="G86" i="31"/>
  <c r="F86" i="31"/>
  <c r="H80" i="31"/>
  <c r="G80" i="31"/>
  <c r="F80" i="31"/>
  <c r="E80" i="31"/>
  <c r="H75" i="31"/>
  <c r="G75" i="31"/>
  <c r="F75" i="31"/>
  <c r="E75" i="31"/>
  <c r="H64" i="31"/>
  <c r="G64" i="31"/>
  <c r="F64" i="31"/>
  <c r="E64" i="31"/>
  <c r="H63" i="31"/>
  <c r="G63" i="31"/>
  <c r="F63" i="31"/>
  <c r="E63" i="31"/>
  <c r="F60" i="31"/>
  <c r="E60" i="31"/>
  <c r="F59" i="31"/>
  <c r="E59" i="31"/>
  <c r="H56" i="31"/>
  <c r="G56" i="31"/>
  <c r="F48" i="31"/>
  <c r="E48" i="31"/>
  <c r="F46" i="31"/>
  <c r="E46" i="31"/>
  <c r="F45" i="31"/>
  <c r="E45" i="31"/>
  <c r="H44" i="31"/>
  <c r="G44" i="31"/>
  <c r="H29" i="31"/>
  <c r="G29" i="31"/>
  <c r="F29" i="31"/>
  <c r="E29" i="31"/>
  <c r="H23" i="31"/>
  <c r="G23" i="31"/>
  <c r="F23" i="31"/>
  <c r="E23" i="31"/>
  <c r="F20" i="31"/>
  <c r="E20" i="31"/>
  <c r="F19" i="31"/>
  <c r="E19" i="31"/>
  <c r="F18" i="31"/>
  <c r="E18" i="31"/>
  <c r="H17" i="31"/>
  <c r="G17" i="31"/>
  <c r="H11" i="31"/>
  <c r="G11" i="31"/>
  <c r="F11" i="31"/>
  <c r="E11" i="31"/>
  <c r="F114" i="30"/>
  <c r="E114" i="30"/>
  <c r="F112" i="30"/>
  <c r="E112" i="30"/>
  <c r="F111" i="30"/>
  <c r="E111" i="30"/>
  <c r="F110" i="30"/>
  <c r="E110" i="30"/>
  <c r="H109" i="30"/>
  <c r="G109" i="30"/>
  <c r="H103" i="30"/>
  <c r="G103" i="30"/>
  <c r="F103" i="30"/>
  <c r="E103" i="30"/>
  <c r="H98" i="30"/>
  <c r="G98" i="30"/>
  <c r="F98" i="30"/>
  <c r="E98" i="30"/>
  <c r="H87" i="30"/>
  <c r="G87" i="30"/>
  <c r="F87" i="30"/>
  <c r="E87" i="30"/>
  <c r="H86" i="30"/>
  <c r="G86" i="30"/>
  <c r="F86" i="30"/>
  <c r="E86" i="30"/>
  <c r="F84" i="30"/>
  <c r="E84" i="30"/>
  <c r="F83" i="30"/>
  <c r="E83" i="30"/>
  <c r="F82" i="30"/>
  <c r="E82" i="30"/>
  <c r="H81" i="30"/>
  <c r="G81" i="30"/>
  <c r="F73" i="30"/>
  <c r="E73" i="30"/>
  <c r="F71" i="30"/>
  <c r="E71" i="30"/>
  <c r="F70" i="30"/>
  <c r="E70" i="30"/>
  <c r="F69" i="30"/>
  <c r="E69" i="30"/>
  <c r="F68" i="30"/>
  <c r="E68" i="30"/>
  <c r="H67" i="30"/>
  <c r="G67" i="30"/>
  <c r="H55" i="30"/>
  <c r="G55" i="30"/>
  <c r="F55" i="30"/>
  <c r="E55" i="30"/>
  <c r="H43" i="30"/>
  <c r="G43" i="30"/>
  <c r="F43" i="30"/>
  <c r="E43" i="30"/>
  <c r="F32" i="30"/>
  <c r="E32" i="30"/>
  <c r="F28" i="30"/>
  <c r="E28" i="30"/>
  <c r="H26" i="30"/>
  <c r="G26" i="30"/>
  <c r="H23" i="30"/>
  <c r="G23" i="30"/>
  <c r="F23" i="30"/>
  <c r="E23" i="30"/>
  <c r="H11" i="30"/>
  <c r="G11" i="30"/>
  <c r="F11" i="30"/>
  <c r="E11" i="30"/>
  <c r="H98" i="29"/>
  <c r="G98" i="29"/>
  <c r="F98" i="29"/>
  <c r="E98" i="29"/>
  <c r="H87" i="29"/>
  <c r="G87" i="29"/>
  <c r="F87" i="29"/>
  <c r="E87" i="29"/>
  <c r="F79" i="29"/>
  <c r="E79" i="29"/>
  <c r="F77" i="29"/>
  <c r="E77" i="29"/>
  <c r="F76" i="29"/>
  <c r="E76" i="29"/>
  <c r="F75" i="29"/>
  <c r="E75" i="29"/>
  <c r="F74" i="29"/>
  <c r="E74" i="29"/>
  <c r="F73" i="29"/>
  <c r="E73" i="29"/>
  <c r="F72" i="29"/>
  <c r="E72" i="29"/>
  <c r="F71" i="29"/>
  <c r="E71" i="29"/>
  <c r="F70" i="29"/>
  <c r="E70" i="29"/>
  <c r="H69" i="29"/>
  <c r="G69" i="29"/>
  <c r="H59" i="29"/>
  <c r="G59" i="29"/>
  <c r="F59" i="29"/>
  <c r="E59" i="29"/>
  <c r="F52" i="29"/>
  <c r="E52" i="29"/>
  <c r="E49" i="29" s="1"/>
  <c r="H49" i="29"/>
  <c r="G49" i="29"/>
  <c r="F49" i="29"/>
  <c r="F31" i="29"/>
  <c r="E31" i="29"/>
  <c r="F29" i="29"/>
  <c r="E29" i="29"/>
  <c r="F27" i="29"/>
  <c r="E27" i="29"/>
  <c r="F26" i="29"/>
  <c r="E26" i="29"/>
  <c r="F25" i="29"/>
  <c r="E25" i="29"/>
  <c r="H24" i="29"/>
  <c r="G24" i="29"/>
  <c r="H21" i="29"/>
  <c r="G21" i="29"/>
  <c r="F21" i="29"/>
  <c r="E21" i="29"/>
  <c r="H11" i="29"/>
  <c r="H9" i="29" s="1"/>
  <c r="G11" i="29"/>
  <c r="F11" i="29"/>
  <c r="E11" i="29"/>
  <c r="H66" i="28"/>
  <c r="G66" i="28"/>
  <c r="F66" i="28"/>
  <c r="E66" i="28"/>
  <c r="H59" i="28"/>
  <c r="G59" i="28"/>
  <c r="F59" i="28"/>
  <c r="E59" i="28"/>
  <c r="F51" i="28"/>
  <c r="E51" i="28"/>
  <c r="F49" i="28"/>
  <c r="E49" i="28"/>
  <c r="F48" i="28"/>
  <c r="E48" i="28"/>
  <c r="F47" i="28"/>
  <c r="E47" i="28"/>
  <c r="F46" i="28"/>
  <c r="E46" i="28"/>
  <c r="F45" i="28"/>
  <c r="E45" i="28"/>
  <c r="H44" i="28"/>
  <c r="G44" i="28"/>
  <c r="H32" i="28"/>
  <c r="G32" i="28"/>
  <c r="F32" i="28"/>
  <c r="E32" i="28"/>
  <c r="H25" i="28"/>
  <c r="G25" i="28"/>
  <c r="F25" i="28"/>
  <c r="E25" i="28"/>
  <c r="F23" i="28"/>
  <c r="E23" i="28"/>
  <c r="F22" i="28"/>
  <c r="E22" i="28"/>
  <c r="F21" i="28"/>
  <c r="E21" i="28"/>
  <c r="F20" i="28"/>
  <c r="E20" i="28"/>
  <c r="E19" i="28"/>
  <c r="H18" i="28"/>
  <c r="G18" i="28"/>
  <c r="H11" i="28"/>
  <c r="G11" i="28"/>
  <c r="F11" i="28"/>
  <c r="E11" i="28"/>
  <c r="F102" i="27"/>
  <c r="E102" i="27"/>
  <c r="E101" i="27" s="1"/>
  <c r="H101" i="27"/>
  <c r="G101" i="27"/>
  <c r="F101" i="27"/>
  <c r="H91" i="27"/>
  <c r="G91" i="27"/>
  <c r="F91" i="27"/>
  <c r="E91" i="27"/>
  <c r="H85" i="27"/>
  <c r="G85" i="27"/>
  <c r="F85" i="27"/>
  <c r="E85" i="27"/>
  <c r="H78" i="27"/>
  <c r="G78" i="27"/>
  <c r="F78" i="27"/>
  <c r="E78" i="27"/>
  <c r="H74" i="27"/>
  <c r="G74" i="27"/>
  <c r="F74" i="27"/>
  <c r="E74" i="27"/>
  <c r="H73" i="27"/>
  <c r="G73" i="27"/>
  <c r="F73" i="27"/>
  <c r="E73" i="27"/>
  <c r="H65" i="27"/>
  <c r="G65" i="27"/>
  <c r="F65" i="27"/>
  <c r="E65" i="27"/>
  <c r="F57" i="27"/>
  <c r="E57" i="27"/>
  <c r="F55" i="27"/>
  <c r="E55" i="27"/>
  <c r="F54" i="27"/>
  <c r="E54" i="27"/>
  <c r="F53" i="27"/>
  <c r="E53" i="27"/>
  <c r="F52" i="27"/>
  <c r="E52" i="27"/>
  <c r="F51" i="27"/>
  <c r="E51" i="27"/>
  <c r="F50" i="27"/>
  <c r="E50" i="27"/>
  <c r="H49" i="27"/>
  <c r="G49" i="27"/>
  <c r="H41" i="27"/>
  <c r="G41" i="27"/>
  <c r="F41" i="27"/>
  <c r="E41" i="27"/>
  <c r="E36" i="27"/>
  <c r="F35" i="27"/>
  <c r="E35" i="27"/>
  <c r="H31" i="27"/>
  <c r="G31" i="27"/>
  <c r="F31" i="27"/>
  <c r="F29" i="27"/>
  <c r="E29" i="27"/>
  <c r="F28" i="27"/>
  <c r="E28" i="27"/>
  <c r="F27" i="27"/>
  <c r="E27" i="27"/>
  <c r="F26" i="27"/>
  <c r="E26" i="27"/>
  <c r="F25" i="27"/>
  <c r="E25" i="27"/>
  <c r="F24" i="27"/>
  <c r="E24" i="27"/>
  <c r="H23" i="27"/>
  <c r="G23" i="27"/>
  <c r="H19" i="27"/>
  <c r="G19" i="27"/>
  <c r="F19" i="27"/>
  <c r="E19" i="27"/>
  <c r="H11" i="27"/>
  <c r="G11" i="27"/>
  <c r="F11" i="27"/>
  <c r="E11" i="27"/>
  <c r="F95" i="26"/>
  <c r="F94" i="26" s="1"/>
  <c r="E95" i="26"/>
  <c r="E94" i="26" s="1"/>
  <c r="H94" i="26"/>
  <c r="G94" i="26"/>
  <c r="H84" i="26"/>
  <c r="G84" i="26"/>
  <c r="F84" i="26"/>
  <c r="E84" i="26"/>
  <c r="H78" i="26"/>
  <c r="G78" i="26"/>
  <c r="F78" i="26"/>
  <c r="E78" i="26"/>
  <c r="H71" i="26"/>
  <c r="G71" i="26"/>
  <c r="F71" i="26"/>
  <c r="E71" i="26"/>
  <c r="H67" i="26"/>
  <c r="G67" i="26"/>
  <c r="F67" i="26"/>
  <c r="E67" i="26"/>
  <c r="H66" i="26"/>
  <c r="G66" i="26"/>
  <c r="F66" i="26"/>
  <c r="E66" i="26"/>
  <c r="H60" i="26"/>
  <c r="G60" i="26"/>
  <c r="F60" i="26"/>
  <c r="E60" i="26"/>
  <c r="F52" i="26"/>
  <c r="E52" i="26"/>
  <c r="F50" i="26"/>
  <c r="E50" i="26"/>
  <c r="F49" i="26"/>
  <c r="E49" i="26"/>
  <c r="F48" i="26"/>
  <c r="E48" i="26"/>
  <c r="H47" i="26"/>
  <c r="G47" i="26"/>
  <c r="H42" i="26"/>
  <c r="G42" i="26"/>
  <c r="F42" i="26"/>
  <c r="E42" i="26"/>
  <c r="H25" i="26"/>
  <c r="G25" i="26"/>
  <c r="F25" i="26"/>
  <c r="E25" i="26"/>
  <c r="F23" i="26"/>
  <c r="E23" i="26"/>
  <c r="F22" i="26"/>
  <c r="E22" i="26"/>
  <c r="F21" i="26"/>
  <c r="E21" i="26"/>
  <c r="H20" i="26"/>
  <c r="G20" i="26"/>
  <c r="H16" i="26"/>
  <c r="G16" i="26"/>
  <c r="F16" i="26"/>
  <c r="E16" i="26"/>
  <c r="H11" i="26"/>
  <c r="G11" i="26"/>
  <c r="F11" i="26"/>
  <c r="E11" i="26"/>
  <c r="F145" i="25"/>
  <c r="E145" i="25"/>
  <c r="F144" i="25"/>
  <c r="E144" i="25"/>
  <c r="F143" i="25"/>
  <c r="E143" i="25"/>
  <c r="F142" i="25"/>
  <c r="E142" i="25"/>
  <c r="F141" i="25"/>
  <c r="E141" i="25"/>
  <c r="F140" i="25"/>
  <c r="E140" i="25"/>
  <c r="H139" i="25"/>
  <c r="G139" i="25"/>
  <c r="H120" i="25"/>
  <c r="G120" i="25"/>
  <c r="F120" i="25"/>
  <c r="E120" i="25"/>
  <c r="H112" i="25"/>
  <c r="G112" i="25"/>
  <c r="F112" i="25"/>
  <c r="E112" i="25"/>
  <c r="H103" i="25"/>
  <c r="G103" i="25"/>
  <c r="F103" i="25"/>
  <c r="E103" i="25"/>
  <c r="H93" i="25"/>
  <c r="G93" i="25"/>
  <c r="H92" i="25"/>
  <c r="G92" i="25"/>
  <c r="F92" i="25"/>
  <c r="E92" i="25"/>
  <c r="F87" i="25"/>
  <c r="F84" i="25" s="1"/>
  <c r="E87" i="25"/>
  <c r="E84" i="25" s="1"/>
  <c r="H84" i="25"/>
  <c r="G84" i="25"/>
  <c r="F76" i="25"/>
  <c r="E76" i="25"/>
  <c r="F74" i="25"/>
  <c r="E74" i="25"/>
  <c r="F73" i="25"/>
  <c r="E73" i="25"/>
  <c r="F72" i="25"/>
  <c r="E72" i="25"/>
  <c r="F71" i="25"/>
  <c r="E71" i="25"/>
  <c r="F70" i="25"/>
  <c r="E70" i="25"/>
  <c r="H69" i="25"/>
  <c r="G69" i="25"/>
  <c r="H59" i="25"/>
  <c r="G59" i="25"/>
  <c r="F59" i="25"/>
  <c r="E59" i="25"/>
  <c r="H49" i="25"/>
  <c r="G49" i="25"/>
  <c r="F49" i="25"/>
  <c r="E49" i="25"/>
  <c r="F31" i="25"/>
  <c r="E31" i="25"/>
  <c r="H27" i="25"/>
  <c r="G27" i="25"/>
  <c r="F27" i="25"/>
  <c r="E27" i="25"/>
  <c r="H21" i="25"/>
  <c r="G21" i="25"/>
  <c r="F21" i="25"/>
  <c r="E21" i="25"/>
  <c r="H11" i="25"/>
  <c r="G11" i="25"/>
  <c r="F11" i="25"/>
  <c r="E11" i="25"/>
  <c r="F151" i="24"/>
  <c r="E151" i="24"/>
  <c r="F150" i="24"/>
  <c r="E150" i="24"/>
  <c r="F149" i="24"/>
  <c r="E149" i="24"/>
  <c r="F148" i="24"/>
  <c r="E148" i="24"/>
  <c r="H147" i="24"/>
  <c r="G147" i="24"/>
  <c r="H125" i="24"/>
  <c r="G125" i="24"/>
  <c r="F125" i="24"/>
  <c r="E125" i="24"/>
  <c r="H117" i="24"/>
  <c r="G117" i="24"/>
  <c r="F117" i="24"/>
  <c r="E117" i="24"/>
  <c r="H108" i="24"/>
  <c r="G108" i="24"/>
  <c r="F108" i="24"/>
  <c r="E108" i="24"/>
  <c r="H98" i="24"/>
  <c r="G98" i="24"/>
  <c r="H97" i="24"/>
  <c r="G97" i="24"/>
  <c r="F97" i="24"/>
  <c r="E97" i="24"/>
  <c r="H91" i="24"/>
  <c r="G91" i="24"/>
  <c r="F91" i="24"/>
  <c r="E91" i="24"/>
  <c r="F83" i="24"/>
  <c r="E83" i="24"/>
  <c r="F81" i="24"/>
  <c r="E81" i="24"/>
  <c r="F80" i="24"/>
  <c r="E80" i="24"/>
  <c r="F79" i="24"/>
  <c r="E79" i="24"/>
  <c r="F78" i="24"/>
  <c r="E78" i="24"/>
  <c r="F77" i="24"/>
  <c r="E77" i="24"/>
  <c r="F76" i="24"/>
  <c r="E76" i="24"/>
  <c r="H75" i="24"/>
  <c r="G75" i="24"/>
  <c r="H66" i="24"/>
  <c r="G66" i="24"/>
  <c r="F66" i="24"/>
  <c r="E66" i="24"/>
  <c r="H57" i="24"/>
  <c r="G57" i="24"/>
  <c r="F57" i="24"/>
  <c r="E57" i="24"/>
  <c r="F30" i="24"/>
  <c r="E30" i="24"/>
  <c r="F28" i="24"/>
  <c r="E28" i="24"/>
  <c r="F27" i="24"/>
  <c r="E27" i="24"/>
  <c r="H25" i="24"/>
  <c r="G25" i="24"/>
  <c r="H20" i="24"/>
  <c r="G20" i="24"/>
  <c r="F20" i="24"/>
  <c r="E20" i="24"/>
  <c r="H11" i="24"/>
  <c r="G11" i="24"/>
  <c r="F11" i="24"/>
  <c r="E11" i="24"/>
  <c r="F116" i="23"/>
  <c r="E116" i="23"/>
  <c r="F115" i="23"/>
  <c r="E115" i="23"/>
  <c r="H114" i="23"/>
  <c r="G114" i="23"/>
  <c r="H104" i="23"/>
  <c r="G104" i="23"/>
  <c r="F104" i="23"/>
  <c r="E104" i="23"/>
  <c r="H96" i="23"/>
  <c r="G96" i="23"/>
  <c r="F96" i="23"/>
  <c r="E96" i="23"/>
  <c r="H87" i="23"/>
  <c r="G87" i="23"/>
  <c r="F87" i="23"/>
  <c r="E87" i="23"/>
  <c r="H77" i="23"/>
  <c r="G77" i="23"/>
  <c r="H76" i="23"/>
  <c r="G76" i="23"/>
  <c r="F76" i="23"/>
  <c r="E76" i="23"/>
  <c r="F74" i="23"/>
  <c r="E74" i="23"/>
  <c r="F73" i="23"/>
  <c r="E73" i="23"/>
  <c r="F72" i="23"/>
  <c r="E72" i="23"/>
  <c r="F71" i="23"/>
  <c r="E71" i="23"/>
  <c r="F70" i="23"/>
  <c r="E70" i="23"/>
  <c r="H69" i="23"/>
  <c r="G69" i="23"/>
  <c r="H59" i="23"/>
  <c r="G59" i="23"/>
  <c r="F59" i="23"/>
  <c r="E59" i="23"/>
  <c r="F52" i="23"/>
  <c r="F49" i="23" s="1"/>
  <c r="H49" i="23"/>
  <c r="G49" i="23"/>
  <c r="E49" i="23"/>
  <c r="F35" i="23"/>
  <c r="E35" i="23"/>
  <c r="F32" i="23"/>
  <c r="E32" i="23"/>
  <c r="F31" i="23"/>
  <c r="E31" i="23"/>
  <c r="F28" i="23"/>
  <c r="E28" i="23"/>
  <c r="H27" i="23"/>
  <c r="G27" i="23"/>
  <c r="H21" i="23"/>
  <c r="G21" i="23"/>
  <c r="F21" i="23"/>
  <c r="E21" i="23"/>
  <c r="H11" i="23"/>
  <c r="G11" i="23"/>
  <c r="F11" i="23"/>
  <c r="E11" i="23"/>
  <c r="F151" i="22"/>
  <c r="E151" i="22"/>
  <c r="F150" i="22"/>
  <c r="E150" i="22"/>
  <c r="F149" i="22"/>
  <c r="E149" i="22"/>
  <c r="F148" i="22"/>
  <c r="E148" i="22"/>
  <c r="F147" i="22"/>
  <c r="E147" i="22"/>
  <c r="F146" i="22"/>
  <c r="E146" i="22"/>
  <c r="F145" i="22"/>
  <c r="E145" i="22"/>
  <c r="F144" i="22"/>
  <c r="E144" i="22"/>
  <c r="H143" i="22"/>
  <c r="G143" i="22"/>
  <c r="H114" i="22"/>
  <c r="G114" i="22"/>
  <c r="F114" i="22"/>
  <c r="E114" i="22"/>
  <c r="H106" i="22"/>
  <c r="G106" i="22"/>
  <c r="F106" i="22"/>
  <c r="E106" i="22"/>
  <c r="H97" i="22"/>
  <c r="G97" i="22"/>
  <c r="F97" i="22"/>
  <c r="E97" i="22"/>
  <c r="H87" i="22"/>
  <c r="G87" i="22"/>
  <c r="H86" i="22"/>
  <c r="G86" i="22"/>
  <c r="F86" i="22"/>
  <c r="E86" i="22"/>
  <c r="F84" i="22"/>
  <c r="E84" i="22"/>
  <c r="F83" i="22"/>
  <c r="E83" i="22"/>
  <c r="F82" i="22"/>
  <c r="E82" i="22"/>
  <c r="H81" i="22"/>
  <c r="G81" i="22"/>
  <c r="F73" i="22"/>
  <c r="E73" i="22"/>
  <c r="F71" i="22"/>
  <c r="E71" i="22"/>
  <c r="F70" i="22"/>
  <c r="E70" i="22"/>
  <c r="F69" i="22"/>
  <c r="E69" i="22"/>
  <c r="F68" i="22"/>
  <c r="E68" i="22"/>
  <c r="H67" i="22"/>
  <c r="G67" i="22"/>
  <c r="H56" i="22"/>
  <c r="G56" i="22"/>
  <c r="F56" i="22"/>
  <c r="E56" i="22"/>
  <c r="H45" i="22"/>
  <c r="G45" i="22"/>
  <c r="F45" i="22"/>
  <c r="E45" i="22"/>
  <c r="F38" i="22"/>
  <c r="E38" i="22"/>
  <c r="F37" i="22"/>
  <c r="E37" i="22"/>
  <c r="F34" i="22"/>
  <c r="E34" i="22"/>
  <c r="F33" i="22"/>
  <c r="E33" i="22"/>
  <c r="F32" i="22"/>
  <c r="E32" i="22"/>
  <c r="F30" i="22"/>
  <c r="E30" i="22"/>
  <c r="H29" i="22"/>
  <c r="G29" i="22"/>
  <c r="H22" i="22"/>
  <c r="G22" i="22"/>
  <c r="F22" i="22"/>
  <c r="E22" i="22"/>
  <c r="H11" i="22"/>
  <c r="G11" i="22"/>
  <c r="F11" i="22"/>
  <c r="E11" i="22"/>
  <c r="E56" i="31" l="1"/>
  <c r="H9" i="34"/>
  <c r="H9" i="30"/>
  <c r="H9" i="25"/>
  <c r="H9" i="31"/>
  <c r="F17" i="31"/>
  <c r="H9" i="27"/>
  <c r="H9" i="26"/>
  <c r="H9" i="23"/>
  <c r="F56" i="31"/>
  <c r="H9" i="24"/>
  <c r="H9" i="28"/>
  <c r="F73" i="34"/>
  <c r="E85" i="34"/>
  <c r="F115" i="34"/>
  <c r="E73" i="34"/>
  <c r="E23" i="34"/>
  <c r="F85" i="34"/>
  <c r="F23" i="34"/>
  <c r="E115" i="34"/>
  <c r="F43" i="32"/>
  <c r="F17" i="32"/>
  <c r="E43" i="32"/>
  <c r="E17" i="32"/>
  <c r="F44" i="31"/>
  <c r="F9" i="31" s="1"/>
  <c r="E17" i="31"/>
  <c r="E44" i="31"/>
  <c r="E109" i="30"/>
  <c r="E67" i="30"/>
  <c r="E26" i="30"/>
  <c r="F67" i="30"/>
  <c r="F26" i="30"/>
  <c r="F81" i="30"/>
  <c r="F109" i="30"/>
  <c r="E81" i="30"/>
  <c r="F69" i="29"/>
  <c r="E24" i="29"/>
  <c r="F24" i="29"/>
  <c r="E69" i="29"/>
  <c r="F18" i="28"/>
  <c r="F44" i="28"/>
  <c r="E18" i="28"/>
  <c r="E44" i="28"/>
  <c r="E49" i="27"/>
  <c r="E31" i="27"/>
  <c r="E23" i="27"/>
  <c r="F23" i="27"/>
  <c r="F9" i="27" s="1"/>
  <c r="F49" i="27"/>
  <c r="F20" i="26"/>
  <c r="E20" i="26"/>
  <c r="F47" i="26"/>
  <c r="E47" i="26"/>
  <c r="E69" i="25"/>
  <c r="E139" i="25"/>
  <c r="F139" i="25"/>
  <c r="F69" i="25"/>
  <c r="F75" i="24"/>
  <c r="E147" i="24"/>
  <c r="F25" i="24"/>
  <c r="E25" i="24"/>
  <c r="E75" i="24"/>
  <c r="F147" i="24"/>
  <c r="F114" i="23"/>
  <c r="F27" i="23"/>
  <c r="E114" i="23"/>
  <c r="E27" i="23"/>
  <c r="E69" i="23"/>
  <c r="F69" i="23"/>
  <c r="H9" i="22"/>
  <c r="F29" i="22"/>
  <c r="E81" i="22"/>
  <c r="F143" i="22"/>
  <c r="F67" i="22"/>
  <c r="E29" i="22"/>
  <c r="E67" i="22"/>
  <c r="E143" i="22"/>
  <c r="F81" i="22"/>
  <c r="F9" i="24" l="1"/>
  <c r="F9" i="34"/>
  <c r="F9" i="32"/>
  <c r="F9" i="26"/>
  <c r="F9" i="23"/>
  <c r="F9" i="25"/>
  <c r="F9" i="28"/>
  <c r="F9" i="29"/>
  <c r="F9" i="30"/>
  <c r="F9" i="22"/>
  <c r="F43" i="20" l="1"/>
  <c r="E43" i="20"/>
  <c r="F42" i="20"/>
  <c r="E42" i="20"/>
  <c r="F41" i="20"/>
  <c r="E41" i="20"/>
  <c r="F40" i="20"/>
  <c r="E40" i="20"/>
  <c r="H39" i="20"/>
  <c r="G39" i="20"/>
  <c r="F74" i="21"/>
  <c r="E74" i="21"/>
  <c r="H73" i="21"/>
  <c r="G73" i="21"/>
  <c r="F73" i="21"/>
  <c r="E73" i="21"/>
  <c r="H70" i="21"/>
  <c r="G70" i="21"/>
  <c r="F70" i="21"/>
  <c r="E70" i="21"/>
  <c r="H65" i="21"/>
  <c r="G65" i="21"/>
  <c r="F65" i="21"/>
  <c r="E65" i="21"/>
  <c r="H58" i="21"/>
  <c r="G58" i="21"/>
  <c r="F58" i="21"/>
  <c r="E58" i="21"/>
  <c r="H50" i="21"/>
  <c r="G50" i="21"/>
  <c r="F50" i="21"/>
  <c r="E50" i="21"/>
  <c r="H47" i="21"/>
  <c r="H43" i="21" s="1"/>
  <c r="H42" i="21" s="1"/>
  <c r="G43" i="21"/>
  <c r="G42" i="21" s="1"/>
  <c r="F42" i="21"/>
  <c r="E42" i="21"/>
  <c r="F34" i="21"/>
  <c r="E34" i="21"/>
  <c r="F32" i="21"/>
  <c r="F31" i="21" s="1"/>
  <c r="E32" i="21"/>
  <c r="E31" i="21" s="1"/>
  <c r="H31" i="21"/>
  <c r="G31" i="21"/>
  <c r="H20" i="21"/>
  <c r="G20" i="21"/>
  <c r="F20" i="21"/>
  <c r="E20" i="21"/>
  <c r="H17" i="21"/>
  <c r="G17" i="21"/>
  <c r="F17" i="21"/>
  <c r="E17" i="21"/>
  <c r="F15" i="21"/>
  <c r="E15" i="21"/>
  <c r="H14" i="21"/>
  <c r="G14" i="21"/>
  <c r="F14" i="21"/>
  <c r="E14" i="21"/>
  <c r="H11" i="21"/>
  <c r="G11" i="21"/>
  <c r="F11" i="21"/>
  <c r="E11" i="21"/>
  <c r="F94" i="20"/>
  <c r="E94" i="20"/>
  <c r="F92" i="20"/>
  <c r="E92" i="20"/>
  <c r="H90" i="20"/>
  <c r="G90" i="20"/>
  <c r="H87" i="20"/>
  <c r="G87" i="20"/>
  <c r="F87" i="20"/>
  <c r="E87" i="20"/>
  <c r="H82" i="20"/>
  <c r="G82" i="20"/>
  <c r="F82" i="20"/>
  <c r="E82" i="20"/>
  <c r="H75" i="20"/>
  <c r="G75" i="20"/>
  <c r="F75" i="20"/>
  <c r="E75" i="20"/>
  <c r="H67" i="20"/>
  <c r="G67" i="20"/>
  <c r="F67" i="20"/>
  <c r="E67" i="20"/>
  <c r="H64" i="20"/>
  <c r="H60" i="20" s="1"/>
  <c r="H59" i="20" s="1"/>
  <c r="G60" i="20"/>
  <c r="G59" i="20" s="1"/>
  <c r="F59" i="20"/>
  <c r="E59" i="20"/>
  <c r="H53" i="20"/>
  <c r="G53" i="20"/>
  <c r="F53" i="20"/>
  <c r="E53" i="20"/>
  <c r="F45" i="20"/>
  <c r="E45" i="20"/>
  <c r="H29" i="20"/>
  <c r="G29" i="20"/>
  <c r="F29" i="20"/>
  <c r="E29" i="20"/>
  <c r="F25" i="20"/>
  <c r="F23" i="20" s="1"/>
  <c r="E25" i="20"/>
  <c r="E23" i="20" s="1"/>
  <c r="H23" i="20"/>
  <c r="G23" i="20"/>
  <c r="F21" i="20"/>
  <c r="E21" i="20"/>
  <c r="F19" i="20"/>
  <c r="E19" i="20"/>
  <c r="F18" i="20"/>
  <c r="E18" i="20"/>
  <c r="H17" i="20"/>
  <c r="G17" i="20"/>
  <c r="H11" i="20"/>
  <c r="G11" i="20"/>
  <c r="F11" i="20"/>
  <c r="E11" i="20"/>
  <c r="F139" i="19"/>
  <c r="F135" i="19" s="1"/>
  <c r="E139" i="19"/>
  <c r="H135" i="19"/>
  <c r="G135" i="19"/>
  <c r="E135" i="19"/>
  <c r="F113" i="19"/>
  <c r="F107" i="19" s="1"/>
  <c r="E113" i="19"/>
  <c r="E107" i="19" s="1"/>
  <c r="H107" i="19"/>
  <c r="G107" i="19"/>
  <c r="H103" i="19"/>
  <c r="G103" i="19"/>
  <c r="F103" i="19"/>
  <c r="E103" i="19"/>
  <c r="H98" i="19"/>
  <c r="G98" i="19"/>
  <c r="F98" i="19"/>
  <c r="E98" i="19"/>
  <c r="H91" i="19"/>
  <c r="G91" i="19"/>
  <c r="F91" i="19"/>
  <c r="E91" i="19"/>
  <c r="H83" i="19"/>
  <c r="G83" i="19"/>
  <c r="F83" i="19"/>
  <c r="E83" i="19"/>
  <c r="H80" i="19"/>
  <c r="H76" i="19" s="1"/>
  <c r="H75" i="19" s="1"/>
  <c r="G76" i="19"/>
  <c r="G75" i="19" s="1"/>
  <c r="F75" i="19"/>
  <c r="E75" i="19"/>
  <c r="F73" i="19"/>
  <c r="E73" i="19"/>
  <c r="E67" i="19" s="1"/>
  <c r="F72" i="19"/>
  <c r="H67" i="19"/>
  <c r="G67" i="19"/>
  <c r="F59" i="19"/>
  <c r="E59" i="19"/>
  <c r="F57" i="19"/>
  <c r="E57" i="19"/>
  <c r="F56" i="19"/>
  <c r="E56" i="19"/>
  <c r="F55" i="19"/>
  <c r="E55" i="19"/>
  <c r="F54" i="19"/>
  <c r="E54" i="19"/>
  <c r="H51" i="19"/>
  <c r="G51" i="19"/>
  <c r="H43" i="19"/>
  <c r="G43" i="19"/>
  <c r="F43" i="19"/>
  <c r="E43" i="19"/>
  <c r="H35" i="19"/>
  <c r="G35" i="19"/>
  <c r="F35" i="19"/>
  <c r="E35" i="19"/>
  <c r="F33" i="19"/>
  <c r="E33" i="19"/>
  <c r="F32" i="19"/>
  <c r="E32" i="19"/>
  <c r="F31" i="19"/>
  <c r="E31" i="19"/>
  <c r="F29" i="19"/>
  <c r="E29" i="19"/>
  <c r="F28" i="19"/>
  <c r="E28" i="19"/>
  <c r="H27" i="19"/>
  <c r="G27" i="19"/>
  <c r="F25" i="19"/>
  <c r="E25" i="19"/>
  <c r="F20" i="19"/>
  <c r="E20" i="19"/>
  <c r="H19" i="19"/>
  <c r="G19" i="19"/>
  <c r="H11" i="19"/>
  <c r="G11" i="19"/>
  <c r="F11" i="19"/>
  <c r="E11" i="19"/>
  <c r="F126" i="18"/>
  <c r="E126" i="18"/>
  <c r="F125" i="18"/>
  <c r="E125" i="18"/>
  <c r="F124" i="18"/>
  <c r="E124" i="18"/>
  <c r="F123" i="18"/>
  <c r="E123" i="18"/>
  <c r="H121" i="18"/>
  <c r="G121" i="18"/>
  <c r="H117" i="18"/>
  <c r="G117" i="18"/>
  <c r="F117" i="18"/>
  <c r="E117" i="18"/>
  <c r="H112" i="18"/>
  <c r="G112" i="18"/>
  <c r="F112" i="18"/>
  <c r="E112" i="18"/>
  <c r="H105" i="18"/>
  <c r="G105" i="18"/>
  <c r="F105" i="18"/>
  <c r="E105" i="18"/>
  <c r="H97" i="18"/>
  <c r="G97" i="18"/>
  <c r="F97" i="18"/>
  <c r="E97" i="18"/>
  <c r="H94" i="18"/>
  <c r="H90" i="18" s="1"/>
  <c r="H89" i="18" s="1"/>
  <c r="G90" i="18"/>
  <c r="G89" i="18" s="1"/>
  <c r="F89" i="18"/>
  <c r="E89" i="18"/>
  <c r="F84" i="18"/>
  <c r="F81" i="18" s="1"/>
  <c r="E84" i="18"/>
  <c r="E83" i="18"/>
  <c r="H81" i="18"/>
  <c r="G81" i="18"/>
  <c r="F73" i="18"/>
  <c r="E73" i="18"/>
  <c r="F71" i="18"/>
  <c r="E71" i="18"/>
  <c r="F69" i="18"/>
  <c r="E69" i="18"/>
  <c r="F67" i="18"/>
  <c r="E67" i="18"/>
  <c r="F66" i="18"/>
  <c r="E66" i="18"/>
  <c r="F65" i="18"/>
  <c r="E65" i="18"/>
  <c r="H64" i="18"/>
  <c r="G64" i="18"/>
  <c r="H55" i="18"/>
  <c r="G55" i="18"/>
  <c r="F55" i="18"/>
  <c r="E55" i="18"/>
  <c r="F53" i="18"/>
  <c r="F50" i="18"/>
  <c r="E50" i="18"/>
  <c r="E46" i="18" s="1"/>
  <c r="H46" i="18"/>
  <c r="G46" i="18"/>
  <c r="F36" i="18"/>
  <c r="E36" i="18"/>
  <c r="F35" i="18"/>
  <c r="E35" i="18"/>
  <c r="F34" i="18"/>
  <c r="E34" i="18"/>
  <c r="F31" i="18"/>
  <c r="E31" i="18"/>
  <c r="F30" i="18"/>
  <c r="E30" i="18"/>
  <c r="H29" i="18"/>
  <c r="G29" i="18"/>
  <c r="F27" i="18"/>
  <c r="E27" i="18"/>
  <c r="F24" i="18"/>
  <c r="E24" i="18"/>
  <c r="H20" i="18"/>
  <c r="G20" i="18"/>
  <c r="H11" i="18"/>
  <c r="H9" i="18" s="1"/>
  <c r="G11" i="18"/>
  <c r="F11" i="18"/>
  <c r="E11" i="18"/>
  <c r="F92" i="17"/>
  <c r="E92" i="17"/>
  <c r="F91" i="17"/>
  <c r="E91" i="17"/>
  <c r="H90" i="17"/>
  <c r="G90" i="17"/>
  <c r="H86" i="17"/>
  <c r="G86" i="17"/>
  <c r="F86" i="17"/>
  <c r="E86" i="17"/>
  <c r="H81" i="17"/>
  <c r="G81" i="17"/>
  <c r="F81" i="17"/>
  <c r="E81" i="17"/>
  <c r="H74" i="17"/>
  <c r="G74" i="17"/>
  <c r="F74" i="17"/>
  <c r="E74" i="17"/>
  <c r="H66" i="17"/>
  <c r="G66" i="17"/>
  <c r="F66" i="17"/>
  <c r="E66" i="17"/>
  <c r="H63" i="17"/>
  <c r="H59" i="17" s="1"/>
  <c r="H58" i="17" s="1"/>
  <c r="G59" i="17"/>
  <c r="G58" i="17" s="1"/>
  <c r="F58" i="17"/>
  <c r="E58" i="17"/>
  <c r="F57" i="17"/>
  <c r="E57" i="17"/>
  <c r="F56" i="17"/>
  <c r="E56" i="17"/>
  <c r="F55" i="17"/>
  <c r="E55" i="17"/>
  <c r="F54" i="17"/>
  <c r="E54" i="17"/>
  <c r="F53" i="17"/>
  <c r="E53" i="17"/>
  <c r="F52" i="17"/>
  <c r="E52" i="17"/>
  <c r="H43" i="17"/>
  <c r="G43" i="17"/>
  <c r="F43" i="17"/>
  <c r="E43" i="17"/>
  <c r="F39" i="17"/>
  <c r="E39" i="17"/>
  <c r="F37" i="17"/>
  <c r="E37" i="17"/>
  <c r="H35" i="17"/>
  <c r="G35" i="17"/>
  <c r="F33" i="17"/>
  <c r="E33" i="17"/>
  <c r="F32" i="17"/>
  <c r="E32" i="17"/>
  <c r="F31" i="17"/>
  <c r="E31" i="17"/>
  <c r="F30" i="17"/>
  <c r="E30" i="17"/>
  <c r="F29" i="17"/>
  <c r="E29" i="17"/>
  <c r="H27" i="17"/>
  <c r="G27" i="17"/>
  <c r="F24" i="17"/>
  <c r="E24" i="17"/>
  <c r="F23" i="17"/>
  <c r="E23" i="17"/>
  <c r="H19" i="17"/>
  <c r="G19" i="17"/>
  <c r="H11" i="17"/>
  <c r="G11" i="17"/>
  <c r="F11" i="17"/>
  <c r="E11" i="17"/>
  <c r="F87" i="16"/>
  <c r="E87" i="16"/>
  <c r="F86" i="16"/>
  <c r="E86" i="16"/>
  <c r="F83" i="16"/>
  <c r="E83" i="16"/>
  <c r="F88" i="16"/>
  <c r="E88" i="16"/>
  <c r="F73" i="16"/>
  <c r="E73" i="16"/>
  <c r="F71" i="16"/>
  <c r="E71" i="16"/>
  <c r="F69" i="16"/>
  <c r="E69" i="16"/>
  <c r="F68" i="16"/>
  <c r="E68" i="16"/>
  <c r="F67" i="16"/>
  <c r="E67" i="16"/>
  <c r="F66" i="16"/>
  <c r="E66" i="16"/>
  <c r="H57" i="16"/>
  <c r="G57" i="16"/>
  <c r="F57" i="16"/>
  <c r="E57" i="16"/>
  <c r="H49" i="16"/>
  <c r="G49" i="16"/>
  <c r="F49" i="16"/>
  <c r="E49" i="16"/>
  <c r="F31" i="16"/>
  <c r="E31" i="16"/>
  <c r="F29" i="16"/>
  <c r="E29" i="16"/>
  <c r="F27" i="16"/>
  <c r="E27" i="16"/>
  <c r="H26" i="16"/>
  <c r="G26" i="16"/>
  <c r="F18" i="16"/>
  <c r="E18" i="16"/>
  <c r="H11" i="16"/>
  <c r="G11" i="16"/>
  <c r="F11" i="16"/>
  <c r="E11" i="16"/>
  <c r="F135" i="15"/>
  <c r="E135" i="15"/>
  <c r="F132" i="15"/>
  <c r="E132" i="15"/>
  <c r="F122" i="15"/>
  <c r="E122" i="15"/>
  <c r="F117" i="15"/>
  <c r="E117" i="15"/>
  <c r="F116" i="15"/>
  <c r="E116" i="15"/>
  <c r="H114" i="15"/>
  <c r="G114" i="15"/>
  <c r="F112" i="15"/>
  <c r="F106" i="15" s="1"/>
  <c r="E112" i="15"/>
  <c r="H106" i="15"/>
  <c r="G106" i="15"/>
  <c r="E106" i="15"/>
  <c r="F94" i="15"/>
  <c r="F93" i="15"/>
  <c r="E93" i="15"/>
  <c r="F92" i="15"/>
  <c r="E92" i="15"/>
  <c r="F91" i="15"/>
  <c r="E91" i="15"/>
  <c r="F90" i="15"/>
  <c r="E90" i="15"/>
  <c r="F89" i="15"/>
  <c r="E89" i="15"/>
  <c r="F88" i="15"/>
  <c r="E88" i="15"/>
  <c r="F79" i="15"/>
  <c r="E79" i="15"/>
  <c r="F77" i="15"/>
  <c r="E77" i="15"/>
  <c r="F76" i="15"/>
  <c r="E76" i="15"/>
  <c r="F74" i="15"/>
  <c r="E74" i="15"/>
  <c r="F73" i="15"/>
  <c r="E73" i="15"/>
  <c r="F72" i="15"/>
  <c r="E72" i="15"/>
  <c r="H63" i="15"/>
  <c r="G63" i="15"/>
  <c r="F63" i="15"/>
  <c r="E63" i="15"/>
  <c r="H55" i="15"/>
  <c r="G55" i="15"/>
  <c r="F55" i="15"/>
  <c r="E55" i="15"/>
  <c r="F33" i="15"/>
  <c r="E33" i="15"/>
  <c r="F30" i="15"/>
  <c r="E30" i="15"/>
  <c r="F29" i="15"/>
  <c r="E29" i="15"/>
  <c r="H27" i="15"/>
  <c r="G27" i="15"/>
  <c r="F19" i="15"/>
  <c r="E19" i="15"/>
  <c r="H11" i="15"/>
  <c r="G11" i="15"/>
  <c r="F11" i="15"/>
  <c r="E11" i="15"/>
  <c r="H9" i="15" l="1"/>
  <c r="H9" i="20"/>
  <c r="H9" i="16"/>
  <c r="H9" i="19"/>
  <c r="H9" i="17"/>
  <c r="F9" i="21"/>
  <c r="E39" i="20"/>
  <c r="F39" i="20"/>
  <c r="F81" i="16"/>
  <c r="H9" i="21"/>
  <c r="E90" i="20"/>
  <c r="E17" i="20"/>
  <c r="F17" i="20"/>
  <c r="F90" i="20"/>
  <c r="F27" i="19"/>
  <c r="F67" i="19"/>
  <c r="E19" i="19"/>
  <c r="E27" i="19"/>
  <c r="F51" i="19"/>
  <c r="F19" i="19"/>
  <c r="E51" i="19"/>
  <c r="E81" i="18"/>
  <c r="E20" i="18"/>
  <c r="F46" i="18"/>
  <c r="F20" i="18"/>
  <c r="E64" i="18"/>
  <c r="F64" i="18"/>
  <c r="F29" i="18"/>
  <c r="F121" i="18"/>
  <c r="E29" i="18"/>
  <c r="E121" i="18"/>
  <c r="E27" i="17"/>
  <c r="F19" i="17"/>
  <c r="F27" i="17"/>
  <c r="F35" i="17"/>
  <c r="F90" i="17"/>
  <c r="E19" i="17"/>
  <c r="E90" i="17"/>
  <c r="E51" i="17"/>
  <c r="E35" i="17"/>
  <c r="F51" i="17"/>
  <c r="E26" i="16"/>
  <c r="F26" i="16"/>
  <c r="E81" i="16"/>
  <c r="E65" i="16"/>
  <c r="F65" i="16"/>
  <c r="F71" i="15"/>
  <c r="E114" i="15"/>
  <c r="E130" i="15"/>
  <c r="F114" i="15"/>
  <c r="F130" i="15"/>
  <c r="E27" i="15"/>
  <c r="E87" i="15"/>
  <c r="F87" i="15"/>
  <c r="F27" i="15"/>
  <c r="E71" i="15"/>
  <c r="F9" i="19" l="1"/>
  <c r="F9" i="20"/>
  <c r="F9" i="15"/>
  <c r="F9" i="16"/>
  <c r="F9" i="18"/>
  <c r="F9" i="17"/>
  <c r="F78" i="14"/>
  <c r="F77" i="14" s="1"/>
  <c r="E78" i="14"/>
  <c r="E77" i="14" s="1"/>
  <c r="H77" i="14"/>
  <c r="G77" i="14"/>
  <c r="H65" i="14"/>
  <c r="G65" i="14"/>
  <c r="F65" i="14"/>
  <c r="E65" i="14"/>
  <c r="H60" i="14"/>
  <c r="G60" i="14"/>
  <c r="F60" i="14"/>
  <c r="E60" i="14"/>
  <c r="H59" i="14"/>
  <c r="G59" i="14"/>
  <c r="F59" i="14"/>
  <c r="E59" i="14"/>
  <c r="F57" i="14"/>
  <c r="E57" i="14"/>
  <c r="F56" i="14"/>
  <c r="F55" i="14"/>
  <c r="E55" i="14"/>
  <c r="F54" i="14"/>
  <c r="E54" i="14"/>
  <c r="F53" i="14"/>
  <c r="E53" i="14"/>
  <c r="H53" i="14"/>
  <c r="G53" i="14"/>
  <c r="F48" i="14"/>
  <c r="E48" i="14"/>
  <c r="F47" i="14"/>
  <c r="E47" i="14"/>
  <c r="F46" i="14"/>
  <c r="E46" i="14"/>
  <c r="H45" i="14"/>
  <c r="G45" i="14"/>
  <c r="H39" i="14"/>
  <c r="G39" i="14"/>
  <c r="F39" i="14"/>
  <c r="E39" i="14"/>
  <c r="H27" i="14"/>
  <c r="G27" i="14"/>
  <c r="F27" i="14"/>
  <c r="E27" i="14"/>
  <c r="F24" i="14"/>
  <c r="E24" i="14"/>
  <c r="F23" i="14"/>
  <c r="E23" i="14"/>
  <c r="H21" i="14"/>
  <c r="G21" i="14"/>
  <c r="H17" i="14"/>
  <c r="G17" i="14"/>
  <c r="F17" i="14"/>
  <c r="E17" i="14"/>
  <c r="H11" i="14"/>
  <c r="G11" i="14"/>
  <c r="F11" i="14"/>
  <c r="E11" i="14"/>
  <c r="H9" i="14" l="1"/>
  <c r="E52" i="14"/>
  <c r="F52" i="14"/>
  <c r="F45" i="14"/>
  <c r="E45" i="14"/>
  <c r="E21" i="14"/>
  <c r="F21" i="14"/>
  <c r="F9" i="14" s="1"/>
  <c r="F35" i="9" l="1"/>
  <c r="G78" i="35" s="1"/>
  <c r="F227" i="8"/>
  <c r="G250" i="35" s="1"/>
  <c r="E227" i="8"/>
  <c r="F250" i="35" s="1"/>
  <c r="F220" i="8"/>
  <c r="G249" i="35" s="1"/>
  <c r="E220" i="8"/>
  <c r="F249" i="35" s="1"/>
  <c r="F208" i="8"/>
  <c r="G247" i="35" s="1"/>
  <c r="E208" i="8"/>
  <c r="F247" i="35" s="1"/>
  <c r="F172" i="7"/>
  <c r="G172" i="35" s="1"/>
  <c r="G172" i="7"/>
  <c r="H172" i="7"/>
  <c r="E172" i="7"/>
  <c r="F172" i="35" s="1"/>
  <c r="F83" i="7"/>
  <c r="G71" i="35" s="1"/>
  <c r="E83" i="7"/>
  <c r="F71" i="35" s="1"/>
  <c r="F73" i="7"/>
  <c r="G70" i="35" s="1"/>
  <c r="E73" i="7"/>
  <c r="F70" i="35" s="1"/>
  <c r="F64" i="7"/>
  <c r="G69" i="35" s="1"/>
  <c r="E64" i="7"/>
  <c r="F69" i="35" s="1"/>
  <c r="F54" i="7"/>
  <c r="E54" i="7"/>
  <c r="F68" i="35" s="1"/>
  <c r="E299" i="6"/>
  <c r="F338" i="35" s="1"/>
  <c r="F145" i="1"/>
  <c r="E145" i="1"/>
  <c r="F133" i="1"/>
  <c r="G267" i="35" s="1"/>
  <c r="E133" i="1"/>
  <c r="F267" i="35" s="1"/>
  <c r="F37" i="5"/>
  <c r="E37" i="5"/>
  <c r="F193" i="10"/>
  <c r="E193" i="10"/>
  <c r="E189" i="10" s="1"/>
  <c r="F359" i="35" s="1"/>
  <c r="F186" i="10"/>
  <c r="E186" i="10"/>
  <c r="E184" i="10" s="1"/>
  <c r="F358" i="35" s="1"/>
  <c r="F189" i="10"/>
  <c r="G359" i="35" s="1"/>
  <c r="H189" i="10"/>
  <c r="G189" i="10"/>
  <c r="H184" i="10"/>
  <c r="G184" i="10"/>
  <c r="F184" i="10"/>
  <c r="G358" i="35" s="1"/>
  <c r="F180" i="10"/>
  <c r="E180" i="10"/>
  <c r="F179" i="10"/>
  <c r="E179" i="10"/>
  <c r="F178" i="10"/>
  <c r="E178" i="10"/>
  <c r="F177" i="10"/>
  <c r="E177" i="10"/>
  <c r="F176" i="10"/>
  <c r="E176" i="10"/>
  <c r="F175" i="10"/>
  <c r="E175" i="10"/>
  <c r="F174" i="10"/>
  <c r="E174" i="10"/>
  <c r="F173" i="10"/>
  <c r="E173" i="10"/>
  <c r="F172" i="10"/>
  <c r="E172" i="10"/>
  <c r="F171" i="10"/>
  <c r="E171" i="10"/>
  <c r="F143" i="10"/>
  <c r="F140" i="10"/>
  <c r="E140" i="10"/>
  <c r="F138" i="10"/>
  <c r="E138" i="10"/>
  <c r="F135" i="10"/>
  <c r="E135" i="10"/>
  <c r="F134" i="10"/>
  <c r="E134" i="10"/>
  <c r="F132" i="10"/>
  <c r="E132" i="10"/>
  <c r="F131" i="10"/>
  <c r="F130" i="10"/>
  <c r="E130" i="10"/>
  <c r="F128" i="10"/>
  <c r="E128" i="10"/>
  <c r="F129" i="10"/>
  <c r="E129" i="10"/>
  <c r="F109" i="10"/>
  <c r="E109" i="10"/>
  <c r="F104" i="10"/>
  <c r="E104" i="10"/>
  <c r="F107" i="10"/>
  <c r="E107" i="10"/>
  <c r="F116" i="10"/>
  <c r="E116" i="10"/>
  <c r="F105" i="10"/>
  <c r="E105" i="10"/>
  <c r="G357" i="35" l="1"/>
  <c r="G183" i="10"/>
  <c r="F67" i="35"/>
  <c r="H183" i="10"/>
  <c r="F357" i="35"/>
  <c r="F53" i="7"/>
  <c r="G68" i="35"/>
  <c r="G67" i="35" s="1"/>
  <c r="I172" i="35"/>
  <c r="H172" i="35"/>
  <c r="H171" i="35" s="1"/>
  <c r="G171" i="7"/>
  <c r="E53" i="7"/>
  <c r="E183" i="10"/>
  <c r="F183" i="10"/>
  <c r="F117" i="10"/>
  <c r="E117" i="10"/>
  <c r="F219" i="9"/>
  <c r="F218" i="9" s="1"/>
  <c r="G320" i="35" s="1"/>
  <c r="E219" i="9"/>
  <c r="E218" i="9" s="1"/>
  <c r="F320" i="35" s="1"/>
  <c r="F216" i="9"/>
  <c r="E216" i="9"/>
  <c r="F210" i="9"/>
  <c r="E210" i="9"/>
  <c r="F227" i="9"/>
  <c r="E227" i="9"/>
  <c r="F209" i="9"/>
  <c r="E209" i="9"/>
  <c r="F208" i="9"/>
  <c r="E208" i="9"/>
  <c r="H223" i="9"/>
  <c r="G223" i="9"/>
  <c r="F223" i="9"/>
  <c r="G321" i="35" s="1"/>
  <c r="E223" i="9"/>
  <c r="F321" i="35" s="1"/>
  <c r="H218" i="9"/>
  <c r="G218" i="9"/>
  <c r="H207" i="9"/>
  <c r="G207" i="9"/>
  <c r="F175" i="9"/>
  <c r="E175" i="9"/>
  <c r="F174" i="9"/>
  <c r="E174" i="9"/>
  <c r="F170" i="9"/>
  <c r="E170" i="9"/>
  <c r="F165" i="9"/>
  <c r="E165" i="9"/>
  <c r="F163" i="9"/>
  <c r="E163" i="9"/>
  <c r="F156" i="9"/>
  <c r="E156" i="9"/>
  <c r="F155" i="9"/>
  <c r="E155" i="9"/>
  <c r="F150" i="9"/>
  <c r="E150" i="9"/>
  <c r="F143" i="9"/>
  <c r="E143" i="9"/>
  <c r="F139" i="9"/>
  <c r="E139" i="9"/>
  <c r="F148" i="9"/>
  <c r="E148" i="9"/>
  <c r="F138" i="9"/>
  <c r="E138" i="9"/>
  <c r="F146" i="9"/>
  <c r="E146" i="9"/>
  <c r="F153" i="9"/>
  <c r="E153" i="9"/>
  <c r="H312" i="8"/>
  <c r="G312" i="8"/>
  <c r="F312" i="8"/>
  <c r="G352" i="35" s="1"/>
  <c r="E312" i="8"/>
  <c r="F352" i="35" s="1"/>
  <c r="F306" i="8"/>
  <c r="G351" i="35" s="1"/>
  <c r="E306" i="8"/>
  <c r="F351" i="35" s="1"/>
  <c r="H306" i="8"/>
  <c r="G306" i="8"/>
  <c r="F299" i="8"/>
  <c r="G350" i="35" s="1"/>
  <c r="H299" i="8"/>
  <c r="G299" i="8"/>
  <c r="E299" i="8"/>
  <c r="F350" i="35" s="1"/>
  <c r="H295" i="8"/>
  <c r="G295" i="8"/>
  <c r="F295" i="8"/>
  <c r="G349" i="35" s="1"/>
  <c r="E295" i="8"/>
  <c r="F349" i="35" s="1"/>
  <c r="F348" i="35" s="1"/>
  <c r="F290" i="8"/>
  <c r="E290" i="8"/>
  <c r="F289" i="8"/>
  <c r="E289" i="8"/>
  <c r="F286" i="8"/>
  <c r="E286" i="8"/>
  <c r="F285" i="8"/>
  <c r="E285" i="8"/>
  <c r="F282" i="8"/>
  <c r="E282" i="8"/>
  <c r="F279" i="8"/>
  <c r="E279" i="8"/>
  <c r="F269" i="8"/>
  <c r="F267" i="8" s="1"/>
  <c r="G314" i="35" s="1"/>
  <c r="E269" i="8"/>
  <c r="E267" i="8" s="1"/>
  <c r="F314" i="35" s="1"/>
  <c r="F283" i="8"/>
  <c r="E283" i="8"/>
  <c r="F273" i="8"/>
  <c r="E273" i="8"/>
  <c r="G348" i="35" l="1"/>
  <c r="E207" i="9"/>
  <c r="F319" i="35" s="1"/>
  <c r="F207" i="9"/>
  <c r="F206" i="9" s="1"/>
  <c r="G206" i="9"/>
  <c r="H206" i="9"/>
  <c r="F318" i="35"/>
  <c r="G294" i="8"/>
  <c r="F294" i="8"/>
  <c r="H294" i="8"/>
  <c r="E294" i="8"/>
  <c r="F205" i="8"/>
  <c r="E205" i="8"/>
  <c r="F204" i="8"/>
  <c r="E204" i="8"/>
  <c r="F203" i="8"/>
  <c r="E203" i="8"/>
  <c r="F202" i="8"/>
  <c r="E202" i="8"/>
  <c r="F201" i="8"/>
  <c r="E201" i="8"/>
  <c r="F200" i="8"/>
  <c r="E200" i="8"/>
  <c r="F198" i="8"/>
  <c r="E198" i="8"/>
  <c r="F196" i="8"/>
  <c r="E196" i="8"/>
  <c r="F195" i="8"/>
  <c r="E195" i="8"/>
  <c r="F194" i="8"/>
  <c r="E194" i="8"/>
  <c r="F193" i="8"/>
  <c r="E193" i="8"/>
  <c r="F192" i="8"/>
  <c r="E192" i="8"/>
  <c r="F189" i="8"/>
  <c r="E189" i="8"/>
  <c r="F188" i="8"/>
  <c r="E188" i="8"/>
  <c r="F187" i="8"/>
  <c r="E187" i="8"/>
  <c r="F186" i="8"/>
  <c r="E186" i="8"/>
  <c r="F185" i="8"/>
  <c r="E185" i="8"/>
  <c r="F183" i="8"/>
  <c r="E183" i="8"/>
  <c r="F182" i="8"/>
  <c r="E182" i="8"/>
  <c r="F181" i="8"/>
  <c r="E181" i="8"/>
  <c r="F199" i="8"/>
  <c r="E199" i="8"/>
  <c r="F190" i="8"/>
  <c r="E190" i="8"/>
  <c r="E206" i="9" l="1"/>
  <c r="G319" i="35"/>
  <c r="G318" i="35" s="1"/>
  <c r="F363" i="7"/>
  <c r="E363" i="7"/>
  <c r="F361" i="7"/>
  <c r="E361" i="7"/>
  <c r="F360" i="7"/>
  <c r="E360" i="7"/>
  <c r="F359" i="7"/>
  <c r="E359" i="7"/>
  <c r="F358" i="7"/>
  <c r="E358" i="7"/>
  <c r="F357" i="7"/>
  <c r="E357" i="7"/>
  <c r="F352" i="7"/>
  <c r="E352" i="7"/>
  <c r="F351" i="7"/>
  <c r="E351" i="7"/>
  <c r="F353" i="7"/>
  <c r="E353" i="7"/>
  <c r="F349" i="7"/>
  <c r="E349" i="7"/>
  <c r="F343" i="7"/>
  <c r="E343" i="7"/>
  <c r="F344" i="7"/>
  <c r="E344" i="7"/>
  <c r="F337" i="7"/>
  <c r="E337" i="7"/>
  <c r="F336" i="7"/>
  <c r="E336" i="7"/>
  <c r="F335" i="7"/>
  <c r="E335" i="7"/>
  <c r="F334" i="7"/>
  <c r="E334" i="7"/>
  <c r="F332" i="7"/>
  <c r="E332" i="7"/>
  <c r="F329" i="7"/>
  <c r="E329" i="7"/>
  <c r="F333" i="7"/>
  <c r="E333" i="7"/>
  <c r="F330" i="7"/>
  <c r="E330" i="7"/>
  <c r="F282" i="7"/>
  <c r="E282" i="7"/>
  <c r="F260" i="7"/>
  <c r="E260" i="7"/>
  <c r="F257" i="7"/>
  <c r="E257" i="7"/>
  <c r="F252" i="7"/>
  <c r="E252" i="7"/>
  <c r="F227" i="7"/>
  <c r="E227" i="7"/>
  <c r="F226" i="7"/>
  <c r="E226" i="7"/>
  <c r="F246" i="7"/>
  <c r="E246" i="7"/>
  <c r="F243" i="7"/>
  <c r="E243" i="7"/>
  <c r="F242" i="7"/>
  <c r="E242" i="7"/>
  <c r="F240" i="7"/>
  <c r="E240" i="7"/>
  <c r="F238" i="7"/>
  <c r="E238" i="7"/>
  <c r="F237" i="7"/>
  <c r="E237" i="7"/>
  <c r="F233" i="7"/>
  <c r="E233" i="7"/>
  <c r="E232" i="7"/>
  <c r="F232" i="7"/>
  <c r="F225" i="7"/>
  <c r="E225" i="7"/>
  <c r="F224" i="7"/>
  <c r="E224" i="7"/>
  <c r="F221" i="7"/>
  <c r="E221" i="7"/>
  <c r="F220" i="7"/>
  <c r="E220" i="7"/>
  <c r="F244" i="7"/>
  <c r="E244" i="7"/>
  <c r="F234" i="7"/>
  <c r="E234" i="7"/>
  <c r="F214" i="7"/>
  <c r="E214" i="7"/>
  <c r="F236" i="7"/>
  <c r="E236" i="7"/>
  <c r="F228" i="7"/>
  <c r="E228" i="7"/>
  <c r="F215" i="7"/>
  <c r="E215" i="7"/>
  <c r="F318" i="6"/>
  <c r="E318" i="6"/>
  <c r="E314" i="6" s="1"/>
  <c r="F340" i="35" s="1"/>
  <c r="H326" i="6"/>
  <c r="G326" i="6"/>
  <c r="F326" i="6"/>
  <c r="G342" i="35" s="1"/>
  <c r="E326" i="6"/>
  <c r="F342" i="35" s="1"/>
  <c r="H321" i="6"/>
  <c r="G321" i="6"/>
  <c r="F321" i="6"/>
  <c r="G341" i="35" s="1"/>
  <c r="E321" i="6"/>
  <c r="F341" i="35" s="1"/>
  <c r="H314" i="6"/>
  <c r="G314" i="6"/>
  <c r="F314" i="6"/>
  <c r="G340" i="35" s="1"/>
  <c r="H306" i="6"/>
  <c r="G306" i="6"/>
  <c r="F306" i="6"/>
  <c r="E306" i="6"/>
  <c r="H299" i="6"/>
  <c r="H298" i="6" s="1"/>
  <c r="G299" i="6"/>
  <c r="G298" i="6" s="1"/>
  <c r="F292" i="6"/>
  <c r="E292" i="6"/>
  <c r="F289" i="6"/>
  <c r="E289" i="6"/>
  <c r="F279" i="6"/>
  <c r="E279" i="6"/>
  <c r="F277" i="6"/>
  <c r="E277" i="6"/>
  <c r="F270" i="6"/>
  <c r="E270" i="6"/>
  <c r="F269" i="6"/>
  <c r="E269" i="6"/>
  <c r="F278" i="6"/>
  <c r="E278" i="6"/>
  <c r="F195" i="6"/>
  <c r="E195" i="6"/>
  <c r="F190" i="6"/>
  <c r="E190" i="6"/>
  <c r="F191" i="6"/>
  <c r="E191" i="6"/>
  <c r="F188" i="6"/>
  <c r="E188" i="6"/>
  <c r="F187" i="6"/>
  <c r="E187" i="6"/>
  <c r="F185" i="6"/>
  <c r="E185" i="6"/>
  <c r="F181" i="6"/>
  <c r="E181" i="6"/>
  <c r="F179" i="6"/>
  <c r="E179" i="6"/>
  <c r="F173" i="6"/>
  <c r="E173" i="6"/>
  <c r="F172" i="6"/>
  <c r="E172" i="6"/>
  <c r="F170" i="6"/>
  <c r="E170" i="6"/>
  <c r="F169" i="6"/>
  <c r="E169" i="6"/>
  <c r="F193" i="6"/>
  <c r="E193" i="6"/>
  <c r="F192" i="6"/>
  <c r="E192" i="6"/>
  <c r="F186" i="6"/>
  <c r="E186" i="6"/>
  <c r="E177" i="6"/>
  <c r="F177" i="6"/>
  <c r="F176" i="6"/>
  <c r="E176" i="6"/>
  <c r="F175" i="6"/>
  <c r="E175" i="6"/>
  <c r="F171" i="6"/>
  <c r="E171" i="6"/>
  <c r="F168" i="6"/>
  <c r="E168" i="6"/>
  <c r="F294" i="6"/>
  <c r="E294" i="6"/>
  <c r="F280" i="6"/>
  <c r="E280" i="6"/>
  <c r="F221" i="6"/>
  <c r="E221" i="6"/>
  <c r="F220" i="6"/>
  <c r="E209" i="6"/>
  <c r="F210" i="6"/>
  <c r="E210" i="6"/>
  <c r="E251" i="7" l="1"/>
  <c r="F242" i="35" s="1"/>
  <c r="F251" i="7"/>
  <c r="G242" i="35" s="1"/>
  <c r="E268" i="6"/>
  <c r="F303" i="35" s="1"/>
  <c r="E298" i="6"/>
  <c r="F339" i="35"/>
  <c r="F337" i="35" s="1"/>
  <c r="F298" i="6"/>
  <c r="G339" i="35"/>
  <c r="G337" i="35" s="1"/>
  <c r="E328" i="7"/>
  <c r="F309" i="35" s="1"/>
  <c r="F328" i="7"/>
  <c r="G309" i="35" s="1"/>
  <c r="E212" i="7"/>
  <c r="F207" i="35" s="1"/>
  <c r="F212" i="7"/>
  <c r="G207" i="35" s="1"/>
  <c r="E275" i="6"/>
  <c r="F304" i="35" s="1"/>
  <c r="F268" i="6"/>
  <c r="G303" i="35" s="1"/>
  <c r="F275" i="6"/>
  <c r="G304" i="35" s="1"/>
  <c r="F296" i="6"/>
  <c r="E296" i="6"/>
  <c r="F134" i="8" l="1"/>
  <c r="E134" i="8"/>
  <c r="E117" i="8"/>
  <c r="F116" i="8"/>
  <c r="E116" i="8"/>
  <c r="F145" i="7"/>
  <c r="F132" i="7"/>
  <c r="G137" i="35" s="1"/>
  <c r="E132" i="7"/>
  <c r="F137" i="35" s="1"/>
  <c r="F49" i="5"/>
  <c r="E49" i="5"/>
  <c r="F51" i="10"/>
  <c r="E51" i="10"/>
  <c r="F57" i="10"/>
  <c r="E57" i="10"/>
  <c r="F60" i="10"/>
  <c r="E60" i="10"/>
  <c r="F50" i="10"/>
  <c r="E50" i="10"/>
  <c r="F62" i="10"/>
  <c r="E62" i="10"/>
  <c r="F54" i="10"/>
  <c r="E54" i="10"/>
  <c r="F76" i="9"/>
  <c r="E76" i="9"/>
  <c r="F70" i="9"/>
  <c r="E70" i="9"/>
  <c r="F72" i="9"/>
  <c r="E72" i="9"/>
  <c r="F71" i="9"/>
  <c r="E71" i="9"/>
  <c r="F64" i="9"/>
  <c r="E64" i="9"/>
  <c r="F78" i="9"/>
  <c r="E78" i="9"/>
  <c r="F60" i="9"/>
  <c r="E60" i="9"/>
  <c r="E93" i="6"/>
  <c r="E97" i="6"/>
  <c r="E77" i="6"/>
  <c r="E102" i="6"/>
  <c r="F112" i="7"/>
  <c r="E112" i="7"/>
  <c r="F103" i="7"/>
  <c r="E103" i="7"/>
  <c r="F99" i="7"/>
  <c r="E99" i="7"/>
  <c r="F98" i="7"/>
  <c r="E98" i="7"/>
  <c r="F116" i="7"/>
  <c r="E116" i="7"/>
  <c r="F105" i="7"/>
  <c r="E105" i="7"/>
  <c r="F102" i="7"/>
  <c r="E102" i="7"/>
  <c r="F109" i="7"/>
  <c r="E109" i="7"/>
  <c r="F108" i="7"/>
  <c r="E108" i="7"/>
  <c r="F118" i="7"/>
  <c r="E118" i="7"/>
  <c r="F125" i="7"/>
  <c r="F121" i="7" s="1"/>
  <c r="G105" i="35" s="1"/>
  <c r="E125" i="7"/>
  <c r="E121" i="7" s="1"/>
  <c r="F105" i="35" s="1"/>
  <c r="F115" i="7"/>
  <c r="F113" i="7" s="1"/>
  <c r="G104" i="35" s="1"/>
  <c r="E115" i="7"/>
  <c r="F97" i="7"/>
  <c r="E97" i="7"/>
  <c r="F95" i="7"/>
  <c r="E95" i="7"/>
  <c r="F22" i="7"/>
  <c r="G24" i="35" s="1"/>
  <c r="E22" i="7"/>
  <c r="F24" i="35" s="1"/>
  <c r="F12" i="7"/>
  <c r="G23" i="35" s="1"/>
  <c r="E12" i="7"/>
  <c r="F23" i="35" s="1"/>
  <c r="F94" i="7" l="1"/>
  <c r="G102" i="35" s="1"/>
  <c r="F126" i="35"/>
  <c r="F125" i="35" s="1"/>
  <c r="G126" i="35"/>
  <c r="G125" i="35" s="1"/>
  <c r="F104" i="7"/>
  <c r="G103" i="35" s="1"/>
  <c r="G101" i="35" s="1"/>
  <c r="E94" i="7"/>
  <c r="F102" i="35" s="1"/>
  <c r="E113" i="7"/>
  <c r="F104" i="35" s="1"/>
  <c r="E104" i="7"/>
  <c r="F103" i="35" s="1"/>
  <c r="H170" i="10"/>
  <c r="G170" i="10"/>
  <c r="F170" i="10"/>
  <c r="G324" i="35" s="1"/>
  <c r="E170" i="10"/>
  <c r="F324" i="35" s="1"/>
  <c r="H165" i="10"/>
  <c r="G165" i="10"/>
  <c r="G164" i="10" s="1"/>
  <c r="F165" i="10"/>
  <c r="E165" i="10"/>
  <c r="H152" i="10"/>
  <c r="G152" i="10"/>
  <c r="F152" i="10"/>
  <c r="E152" i="10"/>
  <c r="H147" i="10"/>
  <c r="H146" i="10" s="1"/>
  <c r="G147" i="10"/>
  <c r="G146" i="10" s="1"/>
  <c r="F147" i="10"/>
  <c r="F146" i="10" s="1"/>
  <c r="E147" i="10"/>
  <c r="E146" i="10" s="1"/>
  <c r="H133" i="10"/>
  <c r="G133" i="10"/>
  <c r="F133" i="10"/>
  <c r="G257" i="35" s="1"/>
  <c r="E133" i="10"/>
  <c r="F257" i="35" s="1"/>
  <c r="H127" i="10"/>
  <c r="H125" i="10" s="1"/>
  <c r="G127" i="10"/>
  <c r="G125" i="10" s="1"/>
  <c r="F127" i="10"/>
  <c r="E127" i="10"/>
  <c r="H108" i="10"/>
  <c r="G108" i="10"/>
  <c r="F108" i="10"/>
  <c r="G222" i="35" s="1"/>
  <c r="E108" i="10"/>
  <c r="F222" i="35" s="1"/>
  <c r="H103" i="10"/>
  <c r="H102" i="10" s="1"/>
  <c r="G103" i="10"/>
  <c r="G102" i="10" s="1"/>
  <c r="F103" i="10"/>
  <c r="E103" i="10"/>
  <c r="F90" i="10"/>
  <c r="G187" i="35" s="1"/>
  <c r="E90" i="10"/>
  <c r="F187" i="35" s="1"/>
  <c r="H85" i="10"/>
  <c r="G85" i="10"/>
  <c r="F85" i="10"/>
  <c r="E85" i="10"/>
  <c r="H71" i="10"/>
  <c r="I152" i="35" s="1"/>
  <c r="G71" i="10"/>
  <c r="H152" i="35" s="1"/>
  <c r="F71" i="10"/>
  <c r="G152" i="35" s="1"/>
  <c r="E71" i="10"/>
  <c r="F152" i="35" s="1"/>
  <c r="H66" i="10"/>
  <c r="G66" i="10"/>
  <c r="F66" i="10"/>
  <c r="E66" i="10"/>
  <c r="F151" i="35" s="1"/>
  <c r="F150" i="35" s="1"/>
  <c r="H53" i="10"/>
  <c r="I117" i="35" s="1"/>
  <c r="G53" i="10"/>
  <c r="H117" i="35" s="1"/>
  <c r="F53" i="10"/>
  <c r="G117" i="35" s="1"/>
  <c r="E53" i="10"/>
  <c r="F117" i="35" s="1"/>
  <c r="H48" i="10"/>
  <c r="G48" i="10"/>
  <c r="F48" i="10"/>
  <c r="E48" i="10"/>
  <c r="H35" i="10"/>
  <c r="G35" i="10"/>
  <c r="F35" i="10"/>
  <c r="G83" i="35" s="1"/>
  <c r="E35" i="10"/>
  <c r="F83" i="35" s="1"/>
  <c r="H30" i="10"/>
  <c r="G30" i="10"/>
  <c r="F30" i="10"/>
  <c r="E30" i="10"/>
  <c r="H17" i="10"/>
  <c r="I38" i="35" s="1"/>
  <c r="G17" i="10"/>
  <c r="H38" i="35" s="1"/>
  <c r="F17" i="10"/>
  <c r="G38" i="35" s="1"/>
  <c r="E17" i="10"/>
  <c r="F38" i="35" s="1"/>
  <c r="H12" i="10"/>
  <c r="G12" i="10"/>
  <c r="F12" i="10"/>
  <c r="E12" i="10"/>
  <c r="H200" i="9"/>
  <c r="G200" i="9"/>
  <c r="F200" i="9"/>
  <c r="E200" i="9"/>
  <c r="H195" i="9"/>
  <c r="G195" i="9"/>
  <c r="F195" i="9"/>
  <c r="E195" i="9"/>
  <c r="H184" i="9"/>
  <c r="H183" i="9" s="1"/>
  <c r="G184" i="9"/>
  <c r="G183" i="9" s="1"/>
  <c r="F184" i="9"/>
  <c r="E184" i="9"/>
  <c r="H177" i="9"/>
  <c r="G177" i="9"/>
  <c r="F177" i="9"/>
  <c r="G254" i="35" s="1"/>
  <c r="E177" i="9"/>
  <c r="F254" i="35" s="1"/>
  <c r="H171" i="9"/>
  <c r="G171" i="9"/>
  <c r="F171" i="9"/>
  <c r="G253" i="35" s="1"/>
  <c r="E171" i="9"/>
  <c r="F253" i="35" s="1"/>
  <c r="H160" i="9"/>
  <c r="G160" i="9"/>
  <c r="F160" i="9"/>
  <c r="E160" i="9"/>
  <c r="H152" i="9"/>
  <c r="G152" i="9"/>
  <c r="F152" i="9"/>
  <c r="G219" i="35" s="1"/>
  <c r="E152" i="9"/>
  <c r="F219" i="35" s="1"/>
  <c r="H147" i="9"/>
  <c r="G147" i="9"/>
  <c r="F147" i="9"/>
  <c r="G218" i="35" s="1"/>
  <c r="E147" i="9"/>
  <c r="F218" i="35" s="1"/>
  <c r="H136" i="9"/>
  <c r="H135" i="9" s="1"/>
  <c r="G136" i="9"/>
  <c r="G135" i="9" s="1"/>
  <c r="F136" i="9"/>
  <c r="E136" i="9"/>
  <c r="F217" i="35" s="1"/>
  <c r="H129" i="9"/>
  <c r="I184" i="35" s="1"/>
  <c r="F129" i="9"/>
  <c r="G184" i="35" s="1"/>
  <c r="E129" i="9"/>
  <c r="F184" i="35" s="1"/>
  <c r="H124" i="9"/>
  <c r="I183" i="35" s="1"/>
  <c r="F124" i="9"/>
  <c r="G183" i="35" s="1"/>
  <c r="E124" i="9"/>
  <c r="F183" i="35" s="1"/>
  <c r="H113" i="9"/>
  <c r="G113" i="9"/>
  <c r="F113" i="9"/>
  <c r="E113" i="9"/>
  <c r="H106" i="9"/>
  <c r="I149" i="35" s="1"/>
  <c r="G106" i="9"/>
  <c r="H149" i="35" s="1"/>
  <c r="F106" i="9"/>
  <c r="G149" i="35" s="1"/>
  <c r="E106" i="9"/>
  <c r="F149" i="35" s="1"/>
  <c r="H101" i="9"/>
  <c r="I148" i="35" s="1"/>
  <c r="G101" i="9"/>
  <c r="H148" i="35" s="1"/>
  <c r="F101" i="9"/>
  <c r="G148" i="35" s="1"/>
  <c r="E101" i="9"/>
  <c r="F148" i="35" s="1"/>
  <c r="H90" i="9"/>
  <c r="G90" i="9"/>
  <c r="H147" i="35" s="1"/>
  <c r="H146" i="35" s="1"/>
  <c r="F90" i="9"/>
  <c r="E90" i="9"/>
  <c r="H74" i="9"/>
  <c r="I114" i="35" s="1"/>
  <c r="G74" i="9"/>
  <c r="H114" i="35" s="1"/>
  <c r="F74" i="9"/>
  <c r="G114" i="35" s="1"/>
  <c r="E74" i="9"/>
  <c r="F114" i="35" s="1"/>
  <c r="H69" i="9"/>
  <c r="I113" i="35" s="1"/>
  <c r="G69" i="9"/>
  <c r="H113" i="35" s="1"/>
  <c r="F69" i="9"/>
  <c r="G113" i="35" s="1"/>
  <c r="E69" i="9"/>
  <c r="F113" i="35" s="1"/>
  <c r="H58" i="9"/>
  <c r="G58" i="9"/>
  <c r="F58" i="9"/>
  <c r="E58" i="9"/>
  <c r="H51" i="9"/>
  <c r="G51" i="9"/>
  <c r="F51" i="9"/>
  <c r="G80" i="35" s="1"/>
  <c r="E51" i="9"/>
  <c r="F80" i="35" s="1"/>
  <c r="H46" i="9"/>
  <c r="G46" i="9"/>
  <c r="F46" i="9"/>
  <c r="E46" i="9"/>
  <c r="F79" i="35" s="1"/>
  <c r="H35" i="9"/>
  <c r="H34" i="9" s="1"/>
  <c r="G35" i="9"/>
  <c r="G34" i="9" s="1"/>
  <c r="E35" i="9"/>
  <c r="F78" i="35" s="1"/>
  <c r="I35" i="35"/>
  <c r="H35" i="35"/>
  <c r="F28" i="9"/>
  <c r="G35" i="35" s="1"/>
  <c r="E28" i="9"/>
  <c r="F35" i="35" s="1"/>
  <c r="H23" i="9"/>
  <c r="I34" i="35" s="1"/>
  <c r="G23" i="9"/>
  <c r="H34" i="35" s="1"/>
  <c r="F23" i="9"/>
  <c r="G34" i="35" s="1"/>
  <c r="E23" i="9"/>
  <c r="F34" i="35" s="1"/>
  <c r="H12" i="9"/>
  <c r="G12" i="9"/>
  <c r="F12" i="9"/>
  <c r="E12" i="9"/>
  <c r="H284" i="8"/>
  <c r="G284" i="8"/>
  <c r="F284" i="8"/>
  <c r="G317" i="35" s="1"/>
  <c r="E284" i="8"/>
  <c r="F317" i="35" s="1"/>
  <c r="H278" i="8"/>
  <c r="G278" i="8"/>
  <c r="F278" i="8"/>
  <c r="G316" i="35" s="1"/>
  <c r="E278" i="8"/>
  <c r="F316" i="35" s="1"/>
  <c r="H271" i="8"/>
  <c r="G271" i="8"/>
  <c r="F271" i="8"/>
  <c r="E271" i="8"/>
  <c r="H267" i="8"/>
  <c r="H266" i="8" s="1"/>
  <c r="G267" i="8"/>
  <c r="H256" i="8"/>
  <c r="G256" i="8"/>
  <c r="F256" i="8"/>
  <c r="E256" i="8"/>
  <c r="H250" i="8"/>
  <c r="G250" i="8"/>
  <c r="F250" i="8"/>
  <c r="E250" i="8"/>
  <c r="H243" i="8"/>
  <c r="G243" i="8"/>
  <c r="F243" i="8"/>
  <c r="E243" i="8"/>
  <c r="H239" i="8"/>
  <c r="G239" i="8"/>
  <c r="F239" i="8"/>
  <c r="E239" i="8"/>
  <c r="H238" i="8"/>
  <c r="G238" i="8"/>
  <c r="F238" i="8"/>
  <c r="E238" i="8"/>
  <c r="H227" i="8"/>
  <c r="G227" i="8"/>
  <c r="H220" i="8"/>
  <c r="G220" i="8"/>
  <c r="H213" i="8"/>
  <c r="G213" i="8"/>
  <c r="F213" i="8"/>
  <c r="E213" i="8"/>
  <c r="H208" i="8"/>
  <c r="G208" i="8"/>
  <c r="H197" i="8"/>
  <c r="G197" i="8"/>
  <c r="F197" i="8"/>
  <c r="G215" i="35" s="1"/>
  <c r="E197" i="8"/>
  <c r="F215" i="35" s="1"/>
  <c r="H191" i="8"/>
  <c r="G191" i="8"/>
  <c r="F191" i="8"/>
  <c r="G214" i="35" s="1"/>
  <c r="E191" i="8"/>
  <c r="F214" i="35" s="1"/>
  <c r="H184" i="8"/>
  <c r="G184" i="8"/>
  <c r="F184" i="8"/>
  <c r="G213" i="35" s="1"/>
  <c r="E184" i="8"/>
  <c r="F213" i="35" s="1"/>
  <c r="H180" i="8"/>
  <c r="G180" i="8"/>
  <c r="G179" i="8" s="1"/>
  <c r="F180" i="8"/>
  <c r="E180" i="8"/>
  <c r="H159" i="8"/>
  <c r="I180" i="35" s="1"/>
  <c r="F159" i="8"/>
  <c r="G180" i="35" s="1"/>
  <c r="E159" i="8"/>
  <c r="F180" i="35" s="1"/>
  <c r="H153" i="8"/>
  <c r="I179" i="35" s="1"/>
  <c r="F153" i="8"/>
  <c r="G179" i="35" s="1"/>
  <c r="E153" i="8"/>
  <c r="F179" i="35" s="1"/>
  <c r="H146" i="8"/>
  <c r="I178" i="35" s="1"/>
  <c r="F146" i="8"/>
  <c r="G178" i="35" s="1"/>
  <c r="E146" i="8"/>
  <c r="F178" i="35" s="1"/>
  <c r="H142" i="8"/>
  <c r="G142" i="8"/>
  <c r="F142" i="8"/>
  <c r="E142" i="8"/>
  <c r="H131" i="8"/>
  <c r="I145" i="35" s="1"/>
  <c r="G131" i="8"/>
  <c r="H145" i="35" s="1"/>
  <c r="F131" i="8"/>
  <c r="G145" i="35" s="1"/>
  <c r="E131" i="8"/>
  <c r="F145" i="35" s="1"/>
  <c r="H119" i="8"/>
  <c r="I144" i="35" s="1"/>
  <c r="G119" i="8"/>
  <c r="H144" i="35" s="1"/>
  <c r="F119" i="8"/>
  <c r="G144" i="35" s="1"/>
  <c r="E119" i="8"/>
  <c r="F144" i="35" s="1"/>
  <c r="H112" i="8"/>
  <c r="I143" i="35" s="1"/>
  <c r="G112" i="8"/>
  <c r="H143" i="35" s="1"/>
  <c r="F112" i="8"/>
  <c r="G143" i="35" s="1"/>
  <c r="E112" i="8"/>
  <c r="F143" i="35" s="1"/>
  <c r="H108" i="8"/>
  <c r="G108" i="8"/>
  <c r="F108" i="8"/>
  <c r="E108" i="8"/>
  <c r="H97" i="8"/>
  <c r="I110" i="35" s="1"/>
  <c r="G97" i="8"/>
  <c r="H110" i="35" s="1"/>
  <c r="F97" i="8"/>
  <c r="G110" i="35" s="1"/>
  <c r="E97" i="8"/>
  <c r="F110" i="35" s="1"/>
  <c r="H91" i="8"/>
  <c r="I109" i="35" s="1"/>
  <c r="G91" i="8"/>
  <c r="H109" i="35" s="1"/>
  <c r="F91" i="8"/>
  <c r="G109" i="35" s="1"/>
  <c r="E91" i="8"/>
  <c r="F109" i="35" s="1"/>
  <c r="H84" i="8"/>
  <c r="I108" i="35" s="1"/>
  <c r="G84" i="8"/>
  <c r="H108" i="35" s="1"/>
  <c r="F84" i="8"/>
  <c r="G108" i="35" s="1"/>
  <c r="E84" i="8"/>
  <c r="F108" i="35" s="1"/>
  <c r="H80" i="8"/>
  <c r="G80" i="8"/>
  <c r="F80" i="8"/>
  <c r="E80" i="8"/>
  <c r="H69" i="8"/>
  <c r="G69" i="8"/>
  <c r="F69" i="8"/>
  <c r="G76" i="35" s="1"/>
  <c r="E69" i="8"/>
  <c r="F76" i="35" s="1"/>
  <c r="H63" i="8"/>
  <c r="G63" i="8"/>
  <c r="F63" i="8"/>
  <c r="G75" i="35" s="1"/>
  <c r="E63" i="8"/>
  <c r="F75" i="35" s="1"/>
  <c r="H56" i="8"/>
  <c r="G56" i="8"/>
  <c r="F56" i="8"/>
  <c r="G74" i="35" s="1"/>
  <c r="E56" i="8"/>
  <c r="F74" i="35" s="1"/>
  <c r="H52" i="8"/>
  <c r="G52" i="8"/>
  <c r="F52" i="8"/>
  <c r="E52" i="8"/>
  <c r="I31" i="35"/>
  <c r="H31" i="35"/>
  <c r="F29" i="8"/>
  <c r="G31" i="35" s="1"/>
  <c r="E29" i="8"/>
  <c r="F31" i="35" s="1"/>
  <c r="I30" i="35"/>
  <c r="H30" i="35"/>
  <c r="F23" i="8"/>
  <c r="G30" i="35" s="1"/>
  <c r="E23" i="8"/>
  <c r="F30" i="35" s="1"/>
  <c r="I29" i="35"/>
  <c r="H29" i="35"/>
  <c r="F16" i="8"/>
  <c r="G29" i="35" s="1"/>
  <c r="E16" i="8"/>
  <c r="F29" i="35" s="1"/>
  <c r="H12" i="8"/>
  <c r="G12" i="8"/>
  <c r="F12" i="8"/>
  <c r="E12" i="8"/>
  <c r="H355" i="7"/>
  <c r="G355" i="7"/>
  <c r="F355" i="7"/>
  <c r="G312" i="35" s="1"/>
  <c r="E355" i="7"/>
  <c r="F312" i="35" s="1"/>
  <c r="H347" i="7"/>
  <c r="G347" i="7"/>
  <c r="F347" i="7"/>
  <c r="G311" i="35" s="1"/>
  <c r="E347" i="7"/>
  <c r="F311" i="35" s="1"/>
  <c r="H338" i="7"/>
  <c r="H327" i="7" s="1"/>
  <c r="G338" i="7"/>
  <c r="G327" i="7" s="1"/>
  <c r="F338" i="7"/>
  <c r="E338" i="7"/>
  <c r="H317" i="7"/>
  <c r="G317" i="7"/>
  <c r="F317" i="7"/>
  <c r="E317" i="7"/>
  <c r="H309" i="7"/>
  <c r="G309" i="7"/>
  <c r="F309" i="7"/>
  <c r="E309" i="7"/>
  <c r="H300" i="7"/>
  <c r="G300" i="7"/>
  <c r="F300" i="7"/>
  <c r="E300" i="7"/>
  <c r="H290" i="7"/>
  <c r="H289" i="7" s="1"/>
  <c r="G290" i="7"/>
  <c r="G289" i="7" s="1"/>
  <c r="H278" i="7"/>
  <c r="G278" i="7"/>
  <c r="F278" i="7"/>
  <c r="G245" i="35" s="1"/>
  <c r="E278" i="7"/>
  <c r="F245" i="35" s="1"/>
  <c r="H270" i="7"/>
  <c r="G270" i="7"/>
  <c r="F270" i="7"/>
  <c r="G244" i="35" s="1"/>
  <c r="E270" i="7"/>
  <c r="F244" i="35" s="1"/>
  <c r="H261" i="7"/>
  <c r="G261" i="7"/>
  <c r="F261" i="7"/>
  <c r="E261" i="7"/>
  <c r="H251" i="7"/>
  <c r="G251" i="7"/>
  <c r="H239" i="7"/>
  <c r="G239" i="7"/>
  <c r="F239" i="7"/>
  <c r="G210" i="35" s="1"/>
  <c r="E239" i="7"/>
  <c r="F210" i="35" s="1"/>
  <c r="H231" i="7"/>
  <c r="G231" i="7"/>
  <c r="F231" i="7"/>
  <c r="G209" i="35" s="1"/>
  <c r="E231" i="7"/>
  <c r="F209" i="35" s="1"/>
  <c r="H222" i="7"/>
  <c r="G222" i="7"/>
  <c r="F222" i="7"/>
  <c r="E222" i="7"/>
  <c r="H212" i="7"/>
  <c r="G212" i="7"/>
  <c r="H201" i="7"/>
  <c r="I175" i="35" s="1"/>
  <c r="F201" i="7"/>
  <c r="G175" i="35" s="1"/>
  <c r="E201" i="7"/>
  <c r="F175" i="35" s="1"/>
  <c r="H191" i="7"/>
  <c r="I174" i="35" s="1"/>
  <c r="F191" i="7"/>
  <c r="G174" i="35" s="1"/>
  <c r="E191" i="7"/>
  <c r="F174" i="35" s="1"/>
  <c r="H182" i="7"/>
  <c r="F182" i="7"/>
  <c r="E182" i="7"/>
  <c r="H161" i="7"/>
  <c r="I140" i="35" s="1"/>
  <c r="G161" i="7"/>
  <c r="H140" i="35" s="1"/>
  <c r="F161" i="7"/>
  <c r="G140" i="35" s="1"/>
  <c r="E161" i="7"/>
  <c r="F140" i="35" s="1"/>
  <c r="H151" i="7"/>
  <c r="I139" i="35" s="1"/>
  <c r="G151" i="7"/>
  <c r="H139" i="35" s="1"/>
  <c r="F151" i="7"/>
  <c r="G139" i="35" s="1"/>
  <c r="E151" i="7"/>
  <c r="F139" i="35" s="1"/>
  <c r="H142" i="7"/>
  <c r="I138" i="35" s="1"/>
  <c r="G142" i="7"/>
  <c r="H138" i="35" s="1"/>
  <c r="F142" i="7"/>
  <c r="E142" i="7"/>
  <c r="H132" i="7"/>
  <c r="G132" i="7"/>
  <c r="H121" i="7"/>
  <c r="I105" i="35" s="1"/>
  <c r="G121" i="7"/>
  <c r="H105" i="35" s="1"/>
  <c r="H113" i="7"/>
  <c r="I104" i="35" s="1"/>
  <c r="G113" i="7"/>
  <c r="H104" i="35" s="1"/>
  <c r="H104" i="7"/>
  <c r="I103" i="35" s="1"/>
  <c r="G104" i="7"/>
  <c r="H103" i="35" s="1"/>
  <c r="H94" i="7"/>
  <c r="G94" i="7"/>
  <c r="H83" i="7"/>
  <c r="G83" i="7"/>
  <c r="H73" i="7"/>
  <c r="G73" i="7"/>
  <c r="H64" i="7"/>
  <c r="G64" i="7"/>
  <c r="H54" i="7"/>
  <c r="H53" i="7" s="1"/>
  <c r="G54" i="7"/>
  <c r="I26" i="35"/>
  <c r="H26" i="35"/>
  <c r="F43" i="7"/>
  <c r="G26" i="35" s="1"/>
  <c r="E43" i="7"/>
  <c r="F26" i="35" s="1"/>
  <c r="I25" i="35"/>
  <c r="H25" i="35"/>
  <c r="F31" i="7"/>
  <c r="E31" i="7"/>
  <c r="I24" i="35"/>
  <c r="H24" i="35"/>
  <c r="H12" i="7"/>
  <c r="H11" i="7" s="1"/>
  <c r="G12" i="7"/>
  <c r="G11" i="7" s="1"/>
  <c r="H295" i="6"/>
  <c r="G295" i="6"/>
  <c r="F295" i="6"/>
  <c r="G307" i="35" s="1"/>
  <c r="E295" i="6"/>
  <c r="F307" i="35" s="1"/>
  <c r="H290" i="6"/>
  <c r="G290" i="6"/>
  <c r="F290" i="6"/>
  <c r="G306" i="35" s="1"/>
  <c r="E290" i="6"/>
  <c r="F306" i="35" s="1"/>
  <c r="H283" i="6"/>
  <c r="G283" i="6"/>
  <c r="F283" i="6"/>
  <c r="E283" i="6"/>
  <c r="H275" i="6"/>
  <c r="G275" i="6"/>
  <c r="H268" i="6"/>
  <c r="G268" i="6"/>
  <c r="H264" i="6"/>
  <c r="G264" i="6"/>
  <c r="F264" i="6"/>
  <c r="E264" i="6"/>
  <c r="H259" i="6"/>
  <c r="G259" i="6"/>
  <c r="F259" i="6"/>
  <c r="E259" i="6"/>
  <c r="H252" i="6"/>
  <c r="G252" i="6"/>
  <c r="F252" i="6"/>
  <c r="E252" i="6"/>
  <c r="H244" i="6"/>
  <c r="G244" i="6"/>
  <c r="F244" i="6"/>
  <c r="E244" i="6"/>
  <c r="E236" i="6" s="1"/>
  <c r="H237" i="6"/>
  <c r="H236" i="6" s="1"/>
  <c r="G237" i="6"/>
  <c r="G236" i="6" s="1"/>
  <c r="H228" i="6"/>
  <c r="G228" i="6"/>
  <c r="F228" i="6"/>
  <c r="G240" i="35" s="1"/>
  <c r="E228" i="6"/>
  <c r="F240" i="35" s="1"/>
  <c r="H223" i="6"/>
  <c r="G223" i="6"/>
  <c r="F223" i="6"/>
  <c r="G239" i="35" s="1"/>
  <c r="E223" i="6"/>
  <c r="F239" i="35" s="1"/>
  <c r="H215" i="6"/>
  <c r="G215" i="6"/>
  <c r="F215" i="6"/>
  <c r="G238" i="35" s="1"/>
  <c r="E215" i="6"/>
  <c r="F238" i="35" s="1"/>
  <c r="H207" i="6"/>
  <c r="G207" i="6"/>
  <c r="F207" i="6"/>
  <c r="E207" i="6"/>
  <c r="F237" i="35" s="1"/>
  <c r="H194" i="6"/>
  <c r="G194" i="6"/>
  <c r="F194" i="6"/>
  <c r="G205" i="35" s="1"/>
  <c r="E194" i="6"/>
  <c r="F205" i="35" s="1"/>
  <c r="H189" i="6"/>
  <c r="G189" i="6"/>
  <c r="F189" i="6"/>
  <c r="G204" i="35" s="1"/>
  <c r="E189" i="6"/>
  <c r="F204" i="35" s="1"/>
  <c r="H182" i="6"/>
  <c r="G182" i="6"/>
  <c r="F182" i="6"/>
  <c r="G203" i="35" s="1"/>
  <c r="E182" i="6"/>
  <c r="F203" i="35" s="1"/>
  <c r="H174" i="6"/>
  <c r="G174" i="6"/>
  <c r="G166" i="6" s="1"/>
  <c r="F174" i="6"/>
  <c r="G202" i="35" s="1"/>
  <c r="E174" i="6"/>
  <c r="F202" i="35" s="1"/>
  <c r="F167" i="6"/>
  <c r="E167" i="6"/>
  <c r="H163" i="6"/>
  <c r="I170" i="35" s="1"/>
  <c r="F163" i="6"/>
  <c r="G170" i="35" s="1"/>
  <c r="E163" i="6"/>
  <c r="F170" i="35" s="1"/>
  <c r="H158" i="6"/>
  <c r="I169" i="35" s="1"/>
  <c r="F158" i="6"/>
  <c r="G169" i="35" s="1"/>
  <c r="E158" i="6"/>
  <c r="F169" i="35" s="1"/>
  <c r="H151" i="6"/>
  <c r="I168" i="35" s="1"/>
  <c r="F151" i="6"/>
  <c r="G168" i="35" s="1"/>
  <c r="E151" i="6"/>
  <c r="F168" i="35" s="1"/>
  <c r="H143" i="6"/>
  <c r="I167" i="35" s="1"/>
  <c r="F143" i="6"/>
  <c r="G167" i="35" s="1"/>
  <c r="E143" i="6"/>
  <c r="F167" i="35" s="1"/>
  <c r="H136" i="6"/>
  <c r="G136" i="6"/>
  <c r="F136" i="6"/>
  <c r="G166" i="35" s="1"/>
  <c r="E136" i="6"/>
  <c r="F166" i="35" s="1"/>
  <c r="H132" i="6"/>
  <c r="I135" i="35" s="1"/>
  <c r="G132" i="6"/>
  <c r="H135" i="35" s="1"/>
  <c r="F132" i="6"/>
  <c r="G135" i="35" s="1"/>
  <c r="E132" i="6"/>
  <c r="F135" i="35" s="1"/>
  <c r="F129" i="6"/>
  <c r="E129" i="6"/>
  <c r="E127" i="6" s="1"/>
  <c r="F134" i="35" s="1"/>
  <c r="H127" i="6"/>
  <c r="I134" i="35" s="1"/>
  <c r="G127" i="6"/>
  <c r="H134" i="35" s="1"/>
  <c r="F127" i="6"/>
  <c r="G134" i="35" s="1"/>
  <c r="H120" i="6"/>
  <c r="I133" i="35" s="1"/>
  <c r="G120" i="6"/>
  <c r="H133" i="35" s="1"/>
  <c r="F120" i="6"/>
  <c r="G133" i="35" s="1"/>
  <c r="E120" i="6"/>
  <c r="F133" i="35" s="1"/>
  <c r="F119" i="6"/>
  <c r="F116" i="6"/>
  <c r="E116" i="6"/>
  <c r="H112" i="6"/>
  <c r="I132" i="35" s="1"/>
  <c r="G112" i="6"/>
  <c r="H132" i="35" s="1"/>
  <c r="E112" i="6"/>
  <c r="F132" i="35" s="1"/>
  <c r="F109" i="6"/>
  <c r="E109" i="6"/>
  <c r="F107" i="6"/>
  <c r="E107" i="6"/>
  <c r="H105" i="6"/>
  <c r="G105" i="6"/>
  <c r="F102" i="6"/>
  <c r="F101" i="6" s="1"/>
  <c r="G100" i="35" s="1"/>
  <c r="H101" i="6"/>
  <c r="I100" i="35" s="1"/>
  <c r="G101" i="6"/>
  <c r="H100" i="35" s="1"/>
  <c r="E101" i="6"/>
  <c r="F100" i="35" s="1"/>
  <c r="F100" i="6"/>
  <c r="E100" i="6"/>
  <c r="F98" i="6"/>
  <c r="E98" i="6"/>
  <c r="F97" i="6"/>
  <c r="H96" i="6"/>
  <c r="I99" i="35" s="1"/>
  <c r="G96" i="6"/>
  <c r="H99" i="35" s="1"/>
  <c r="F95" i="6"/>
  <c r="E95" i="6"/>
  <c r="F94" i="6"/>
  <c r="E94" i="6"/>
  <c r="F93" i="6"/>
  <c r="F91" i="6"/>
  <c r="E91" i="6"/>
  <c r="F90" i="6"/>
  <c r="E90" i="6"/>
  <c r="H89" i="6"/>
  <c r="I98" i="35" s="1"/>
  <c r="G89" i="6"/>
  <c r="H98" i="35" s="1"/>
  <c r="F88" i="6"/>
  <c r="E88" i="6"/>
  <c r="F87" i="6"/>
  <c r="E87" i="6"/>
  <c r="F86" i="6"/>
  <c r="E86" i="6"/>
  <c r="F83" i="6"/>
  <c r="E83" i="6"/>
  <c r="F82" i="6"/>
  <c r="E82" i="6"/>
  <c r="H81" i="6"/>
  <c r="I97" i="35" s="1"/>
  <c r="G81" i="6"/>
  <c r="H97" i="35" s="1"/>
  <c r="F80" i="6"/>
  <c r="E80" i="6"/>
  <c r="F79" i="6"/>
  <c r="E79" i="6"/>
  <c r="F78" i="6"/>
  <c r="E78" i="6"/>
  <c r="F77" i="6"/>
  <c r="F76" i="6"/>
  <c r="E76" i="6"/>
  <c r="H74" i="6"/>
  <c r="G74" i="6"/>
  <c r="H70" i="6"/>
  <c r="G70" i="6"/>
  <c r="F70" i="6"/>
  <c r="G66" i="35" s="1"/>
  <c r="E70" i="6"/>
  <c r="F66" i="35" s="1"/>
  <c r="H65" i="6"/>
  <c r="G65" i="6"/>
  <c r="F65" i="6"/>
  <c r="G65" i="35" s="1"/>
  <c r="E65" i="6"/>
  <c r="F65" i="35" s="1"/>
  <c r="F64" i="6"/>
  <c r="E64" i="6"/>
  <c r="F59" i="6"/>
  <c r="E59" i="6"/>
  <c r="H58" i="6"/>
  <c r="G58" i="6"/>
  <c r="F57" i="6"/>
  <c r="E57" i="6"/>
  <c r="F54" i="6"/>
  <c r="E54" i="6"/>
  <c r="H50" i="6"/>
  <c r="G50" i="6"/>
  <c r="F48" i="6"/>
  <c r="E48" i="6"/>
  <c r="F47" i="6"/>
  <c r="E47" i="6"/>
  <c r="H43" i="6"/>
  <c r="G43" i="6"/>
  <c r="H39" i="6"/>
  <c r="I21" i="35" s="1"/>
  <c r="G39" i="6"/>
  <c r="H21" i="35" s="1"/>
  <c r="F39" i="6"/>
  <c r="G21" i="35" s="1"/>
  <c r="E39" i="6"/>
  <c r="F21" i="35" s="1"/>
  <c r="H34" i="6"/>
  <c r="I20" i="35" s="1"/>
  <c r="G34" i="6"/>
  <c r="H20" i="35" s="1"/>
  <c r="F34" i="6"/>
  <c r="G20" i="35" s="1"/>
  <c r="E34" i="6"/>
  <c r="F20" i="35" s="1"/>
  <c r="H27" i="6"/>
  <c r="I19" i="35" s="1"/>
  <c r="G27" i="6"/>
  <c r="H19" i="35" s="1"/>
  <c r="F27" i="6"/>
  <c r="G19" i="35" s="1"/>
  <c r="E27" i="6"/>
  <c r="F19" i="35" s="1"/>
  <c r="H19" i="6"/>
  <c r="I18" i="35" s="1"/>
  <c r="G19" i="6"/>
  <c r="H18" i="35" s="1"/>
  <c r="F19" i="6"/>
  <c r="G18" i="35" s="1"/>
  <c r="E19" i="6"/>
  <c r="F18" i="35" s="1"/>
  <c r="H12" i="6"/>
  <c r="I17" i="35" s="1"/>
  <c r="G12" i="6"/>
  <c r="F12" i="6"/>
  <c r="G17" i="35" s="1"/>
  <c r="G16" i="35" s="1"/>
  <c r="E12" i="6"/>
  <c r="F17" i="35" s="1"/>
  <c r="F16" i="35" s="1"/>
  <c r="I86" i="4"/>
  <c r="H86" i="4"/>
  <c r="F86" i="4"/>
  <c r="E86" i="4"/>
  <c r="I74" i="4"/>
  <c r="H74" i="4"/>
  <c r="F74" i="4"/>
  <c r="E74" i="4"/>
  <c r="F68" i="4"/>
  <c r="F66" i="4"/>
  <c r="E66" i="4"/>
  <c r="F58" i="4"/>
  <c r="E58" i="4"/>
  <c r="F56" i="4"/>
  <c r="E56" i="4"/>
  <c r="F53" i="4"/>
  <c r="E53" i="4"/>
  <c r="F51" i="4"/>
  <c r="F50" i="4" s="1"/>
  <c r="E51" i="4"/>
  <c r="I42" i="4"/>
  <c r="H42" i="4"/>
  <c r="F42" i="4"/>
  <c r="E42" i="4"/>
  <c r="I34" i="4"/>
  <c r="H34" i="4"/>
  <c r="F34" i="4"/>
  <c r="E34" i="4"/>
  <c r="I26" i="4"/>
  <c r="H26" i="4"/>
  <c r="F26" i="4"/>
  <c r="E26" i="4"/>
  <c r="F19" i="4"/>
  <c r="E19" i="4"/>
  <c r="I12" i="4"/>
  <c r="H12" i="4"/>
  <c r="F12" i="4"/>
  <c r="E12" i="4"/>
  <c r="F165" i="1"/>
  <c r="G336" i="35" s="1"/>
  <c r="E165" i="1"/>
  <c r="F336" i="35" s="1"/>
  <c r="F163" i="1"/>
  <c r="E163" i="1"/>
  <c r="F160" i="1"/>
  <c r="E160" i="1"/>
  <c r="H149" i="1"/>
  <c r="G149" i="1"/>
  <c r="F149" i="1"/>
  <c r="G301" i="35" s="1"/>
  <c r="E149" i="1"/>
  <c r="F301" i="35" s="1"/>
  <c r="F144" i="1"/>
  <c r="F142" i="1" s="1"/>
  <c r="G300" i="35" s="1"/>
  <c r="E144" i="1"/>
  <c r="E142" i="1" s="1"/>
  <c r="H142" i="1"/>
  <c r="G142" i="1"/>
  <c r="H133" i="1"/>
  <c r="I267" i="35" s="1"/>
  <c r="G133" i="1"/>
  <c r="H267" i="35" s="1"/>
  <c r="F132" i="1"/>
  <c r="F126" i="1" s="1"/>
  <c r="E132" i="1"/>
  <c r="E126" i="1" s="1"/>
  <c r="H126" i="1"/>
  <c r="G126" i="1"/>
  <c r="G125" i="1" s="1"/>
  <c r="F123" i="1"/>
  <c r="E123" i="1"/>
  <c r="F122" i="1"/>
  <c r="E122" i="1"/>
  <c r="F119" i="1"/>
  <c r="E119" i="1"/>
  <c r="F116" i="1"/>
  <c r="F115" i="1"/>
  <c r="E115" i="1"/>
  <c r="F114" i="1"/>
  <c r="E114" i="1"/>
  <c r="F113" i="1"/>
  <c r="E113" i="1"/>
  <c r="F112" i="1"/>
  <c r="E112" i="1"/>
  <c r="F111" i="1"/>
  <c r="E111" i="1"/>
  <c r="F110" i="1"/>
  <c r="E110" i="1"/>
  <c r="F105" i="1"/>
  <c r="E105" i="1"/>
  <c r="F103" i="1"/>
  <c r="E103" i="1"/>
  <c r="F102" i="1"/>
  <c r="E102" i="1"/>
  <c r="F101" i="1"/>
  <c r="E101" i="1"/>
  <c r="F100" i="1"/>
  <c r="E100" i="1"/>
  <c r="F98" i="1"/>
  <c r="E98" i="1"/>
  <c r="F97" i="1"/>
  <c r="E97" i="1"/>
  <c r="F95" i="1"/>
  <c r="E95" i="1"/>
  <c r="F94" i="1"/>
  <c r="E94" i="1"/>
  <c r="F93" i="1"/>
  <c r="E93" i="1"/>
  <c r="H83" i="1"/>
  <c r="I164" i="35" s="1"/>
  <c r="H164" i="35"/>
  <c r="F83" i="1"/>
  <c r="G164" i="35" s="1"/>
  <c r="E83" i="1"/>
  <c r="F164" i="35" s="1"/>
  <c r="H76" i="1"/>
  <c r="G76" i="1"/>
  <c r="F76" i="1"/>
  <c r="G163" i="35" s="1"/>
  <c r="E76" i="1"/>
  <c r="F163" i="35" s="1"/>
  <c r="H67" i="1"/>
  <c r="I129" i="35" s="1"/>
  <c r="G67" i="1"/>
  <c r="H129" i="35" s="1"/>
  <c r="F67" i="1"/>
  <c r="G129" i="35" s="1"/>
  <c r="E67" i="1"/>
  <c r="F129" i="35" s="1"/>
  <c r="H60" i="1"/>
  <c r="G60" i="1"/>
  <c r="F60" i="1"/>
  <c r="G128" i="35" s="1"/>
  <c r="G127" i="35" s="1"/>
  <c r="E60" i="1"/>
  <c r="F56" i="1"/>
  <c r="E56" i="1"/>
  <c r="F54" i="1"/>
  <c r="E54" i="1"/>
  <c r="F52" i="1"/>
  <c r="E52" i="1"/>
  <c r="H51" i="1"/>
  <c r="I94" i="35" s="1"/>
  <c r="G51" i="1"/>
  <c r="H94" i="35" s="1"/>
  <c r="F50" i="1"/>
  <c r="E50" i="1"/>
  <c r="F47" i="1"/>
  <c r="E47" i="1"/>
  <c r="F46" i="1"/>
  <c r="E46" i="1"/>
  <c r="H44" i="1"/>
  <c r="H43" i="1" s="1"/>
  <c r="G44" i="1"/>
  <c r="G43" i="1" s="1"/>
  <c r="F35" i="1"/>
  <c r="G60" i="35" s="1"/>
  <c r="E35" i="1"/>
  <c r="F60" i="35" s="1"/>
  <c r="F28" i="1"/>
  <c r="G59" i="35" s="1"/>
  <c r="E28" i="1"/>
  <c r="F59" i="35" s="1"/>
  <c r="H19" i="1"/>
  <c r="I15" i="35" s="1"/>
  <c r="G19" i="1"/>
  <c r="H15" i="35" s="1"/>
  <c r="F19" i="1"/>
  <c r="G15" i="35" s="1"/>
  <c r="E19" i="1"/>
  <c r="F15" i="35" s="1"/>
  <c r="H12" i="1"/>
  <c r="G12" i="1"/>
  <c r="F12" i="1"/>
  <c r="E12" i="1"/>
  <c r="F105" i="5"/>
  <c r="E105" i="5"/>
  <c r="F103" i="5"/>
  <c r="E103" i="5"/>
  <c r="F95" i="5"/>
  <c r="F91" i="5" s="1"/>
  <c r="E95" i="5"/>
  <c r="E93" i="5"/>
  <c r="F87" i="5"/>
  <c r="E87" i="5"/>
  <c r="F86" i="5"/>
  <c r="E86" i="5"/>
  <c r="F85" i="5"/>
  <c r="F84" i="5"/>
  <c r="E84" i="5"/>
  <c r="F83" i="5"/>
  <c r="F82" i="5"/>
  <c r="F81" i="5"/>
  <c r="F80" i="5"/>
  <c r="E80" i="5"/>
  <c r="F77" i="5"/>
  <c r="E77" i="5"/>
  <c r="F76" i="5"/>
  <c r="E76" i="5"/>
  <c r="F75" i="5"/>
  <c r="E75" i="5"/>
  <c r="F73" i="5"/>
  <c r="E73" i="5"/>
  <c r="F71" i="5"/>
  <c r="E71" i="5"/>
  <c r="F70" i="5"/>
  <c r="E70" i="5"/>
  <c r="G59" i="5"/>
  <c r="F59" i="5"/>
  <c r="E59" i="5"/>
  <c r="H49" i="5"/>
  <c r="G49" i="5"/>
  <c r="F38" i="5"/>
  <c r="E38" i="5"/>
  <c r="F36" i="5"/>
  <c r="E36" i="5"/>
  <c r="F33" i="5"/>
  <c r="E33" i="5"/>
  <c r="F31" i="5"/>
  <c r="E31" i="5"/>
  <c r="H30" i="5"/>
  <c r="G30" i="5"/>
  <c r="H20" i="5"/>
  <c r="G20" i="5"/>
  <c r="F20" i="5"/>
  <c r="E20" i="5"/>
  <c r="H10" i="5"/>
  <c r="G10" i="5"/>
  <c r="F10" i="5"/>
  <c r="E10" i="5"/>
  <c r="H211" i="7" l="1"/>
  <c r="H51" i="8"/>
  <c r="G266" i="8"/>
  <c r="F183" i="9"/>
  <c r="F162" i="35"/>
  <c r="H125" i="1"/>
  <c r="H207" i="8"/>
  <c r="H166" i="6"/>
  <c r="F236" i="6"/>
  <c r="G249" i="7"/>
  <c r="E289" i="7"/>
  <c r="H179" i="8"/>
  <c r="G158" i="9"/>
  <c r="G29" i="10"/>
  <c r="I16" i="35"/>
  <c r="H249" i="7"/>
  <c r="F289" i="7"/>
  <c r="H158" i="9"/>
  <c r="H29" i="10"/>
  <c r="G211" i="7"/>
  <c r="G51" i="8"/>
  <c r="F216" i="35"/>
  <c r="E183" i="9"/>
  <c r="E91" i="5"/>
  <c r="G141" i="1"/>
  <c r="E50" i="4"/>
  <c r="F58" i="6"/>
  <c r="G64" i="35" s="1"/>
  <c r="G267" i="6"/>
  <c r="G53" i="7"/>
  <c r="F10" i="4"/>
  <c r="H164" i="10"/>
  <c r="H128" i="35"/>
  <c r="H127" i="35" s="1"/>
  <c r="G59" i="1"/>
  <c r="I128" i="35"/>
  <c r="I127" i="35" s="1"/>
  <c r="H59" i="1"/>
  <c r="H163" i="35"/>
  <c r="H162" i="35" s="1"/>
  <c r="G75" i="1"/>
  <c r="H141" i="1"/>
  <c r="G207" i="8"/>
  <c r="F30" i="5"/>
  <c r="F75" i="1"/>
  <c r="I163" i="35"/>
  <c r="I162" i="35" s="1"/>
  <c r="H75" i="1"/>
  <c r="F51" i="8"/>
  <c r="G73" i="35"/>
  <c r="G72" i="35" s="1"/>
  <c r="F107" i="8"/>
  <c r="G142" i="35"/>
  <c r="G141" i="35" s="1"/>
  <c r="I142" i="35"/>
  <c r="I141" i="35" s="1"/>
  <c r="H107" i="8"/>
  <c r="E179" i="8"/>
  <c r="F212" i="35"/>
  <c r="F211" i="35" s="1"/>
  <c r="E207" i="8"/>
  <c r="F248" i="35"/>
  <c r="F246" i="35" s="1"/>
  <c r="E51" i="8"/>
  <c r="F73" i="35"/>
  <c r="F72" i="35" s="1"/>
  <c r="E107" i="8"/>
  <c r="F142" i="35"/>
  <c r="F141" i="35" s="1"/>
  <c r="H142" i="35"/>
  <c r="H141" i="35" s="1"/>
  <c r="G107" i="8"/>
  <c r="F179" i="8"/>
  <c r="G212" i="35"/>
  <c r="G211" i="35" s="1"/>
  <c r="F207" i="8"/>
  <c r="G248" i="35"/>
  <c r="G246" i="35" s="1"/>
  <c r="F266" i="8"/>
  <c r="G315" i="35"/>
  <c r="G313" i="35" s="1"/>
  <c r="F50" i="6"/>
  <c r="G63" i="35" s="1"/>
  <c r="F105" i="6"/>
  <c r="G131" i="35" s="1"/>
  <c r="E74" i="6"/>
  <c r="F96" i="35" s="1"/>
  <c r="E89" i="6"/>
  <c r="F98" i="35" s="1"/>
  <c r="F112" i="6"/>
  <c r="G132" i="35" s="1"/>
  <c r="E158" i="1"/>
  <c r="I14" i="35"/>
  <c r="I13" i="35" s="1"/>
  <c r="H11" i="1"/>
  <c r="H9" i="1" s="1"/>
  <c r="H14" i="35"/>
  <c r="H13" i="35" s="1"/>
  <c r="G11" i="1"/>
  <c r="F82" i="35"/>
  <c r="F81" i="35" s="1"/>
  <c r="E47" i="10"/>
  <c r="F116" i="35"/>
  <c r="F115" i="35" s="1"/>
  <c r="E84" i="10"/>
  <c r="F186" i="35"/>
  <c r="F185" i="35" s="1"/>
  <c r="E125" i="10"/>
  <c r="F256" i="35"/>
  <c r="F255" i="35" s="1"/>
  <c r="E164" i="10"/>
  <c r="F323" i="35"/>
  <c r="F322" i="35" s="1"/>
  <c r="F29" i="10"/>
  <c r="G82" i="35"/>
  <c r="G81" i="35" s="1"/>
  <c r="F47" i="10"/>
  <c r="G116" i="35"/>
  <c r="G115" i="35" s="1"/>
  <c r="F65" i="10"/>
  <c r="G151" i="35"/>
  <c r="G150" i="35" s="1"/>
  <c r="F84" i="10"/>
  <c r="G186" i="35"/>
  <c r="G185" i="35" s="1"/>
  <c r="F125" i="10"/>
  <c r="G256" i="35"/>
  <c r="G255" i="35" s="1"/>
  <c r="F164" i="10"/>
  <c r="G323" i="35"/>
  <c r="G322" i="35" s="1"/>
  <c r="H151" i="35"/>
  <c r="H150" i="35" s="1"/>
  <c r="G65" i="10"/>
  <c r="E102" i="10"/>
  <c r="F221" i="35"/>
  <c r="F220" i="35" s="1"/>
  <c r="I151" i="35"/>
  <c r="I150" i="35" s="1"/>
  <c r="H65" i="10"/>
  <c r="F102" i="10"/>
  <c r="G221" i="35"/>
  <c r="G220" i="35" s="1"/>
  <c r="H186" i="35"/>
  <c r="H185" i="35" s="1"/>
  <c r="G84" i="10"/>
  <c r="I186" i="35"/>
  <c r="I185" i="35" s="1"/>
  <c r="H84" i="10"/>
  <c r="H37" i="35"/>
  <c r="H36" i="35" s="1"/>
  <c r="G11" i="10"/>
  <c r="I37" i="35"/>
  <c r="I36" i="35" s="1"/>
  <c r="H11" i="10"/>
  <c r="H116" i="35"/>
  <c r="H115" i="35" s="1"/>
  <c r="G47" i="10"/>
  <c r="I116" i="35"/>
  <c r="I115" i="35" s="1"/>
  <c r="H47" i="10"/>
  <c r="E11" i="10"/>
  <c r="F37" i="35"/>
  <c r="F36" i="35" s="1"/>
  <c r="F11" i="10"/>
  <c r="G37" i="35"/>
  <c r="G36" i="35" s="1"/>
  <c r="F77" i="35"/>
  <c r="H89" i="9"/>
  <c r="I147" i="35"/>
  <c r="I146" i="35" s="1"/>
  <c r="F135" i="9"/>
  <c r="G217" i="35"/>
  <c r="G216" i="35" s="1"/>
  <c r="E57" i="9"/>
  <c r="F112" i="35"/>
  <c r="F111" i="35" s="1"/>
  <c r="E89" i="9"/>
  <c r="F147" i="35"/>
  <c r="F146" i="35" s="1"/>
  <c r="E158" i="9"/>
  <c r="F252" i="35"/>
  <c r="F251" i="35" s="1"/>
  <c r="F34" i="9"/>
  <c r="G79" i="35"/>
  <c r="G77" i="35" s="1"/>
  <c r="F57" i="9"/>
  <c r="G112" i="35"/>
  <c r="G111" i="35" s="1"/>
  <c r="F89" i="9"/>
  <c r="G147" i="35"/>
  <c r="G146" i="35" s="1"/>
  <c r="F158" i="9"/>
  <c r="G252" i="35"/>
  <c r="G251" i="35" s="1"/>
  <c r="I182" i="35"/>
  <c r="I181" i="35" s="1"/>
  <c r="H112" i="9"/>
  <c r="H182" i="35"/>
  <c r="H181" i="35" s="1"/>
  <c r="G112" i="9"/>
  <c r="E112" i="9"/>
  <c r="F182" i="35"/>
  <c r="F181" i="35" s="1"/>
  <c r="F112" i="9"/>
  <c r="G182" i="35"/>
  <c r="G181" i="35" s="1"/>
  <c r="G57" i="9"/>
  <c r="H112" i="35"/>
  <c r="H111" i="35" s="1"/>
  <c r="H57" i="9"/>
  <c r="I112" i="35"/>
  <c r="I111" i="35" s="1"/>
  <c r="H11" i="9"/>
  <c r="I33" i="35"/>
  <c r="I32" i="35" s="1"/>
  <c r="E11" i="9"/>
  <c r="F33" i="35"/>
  <c r="F32" i="35" s="1"/>
  <c r="F11" i="9"/>
  <c r="G33" i="35"/>
  <c r="G32" i="35" s="1"/>
  <c r="G11" i="9"/>
  <c r="H33" i="35"/>
  <c r="H32" i="35" s="1"/>
  <c r="I177" i="35"/>
  <c r="I176" i="35" s="1"/>
  <c r="H141" i="8"/>
  <c r="H177" i="35"/>
  <c r="H176" i="35" s="1"/>
  <c r="G141" i="8"/>
  <c r="F141" i="8"/>
  <c r="G177" i="35"/>
  <c r="G176" i="35" s="1"/>
  <c r="E141" i="8"/>
  <c r="F177" i="35"/>
  <c r="F176" i="35" s="1"/>
  <c r="F79" i="8"/>
  <c r="G107" i="35"/>
  <c r="G106" i="35" s="1"/>
  <c r="H107" i="35"/>
  <c r="H106" i="35" s="1"/>
  <c r="G79" i="8"/>
  <c r="I107" i="35"/>
  <c r="I106" i="35" s="1"/>
  <c r="H79" i="8"/>
  <c r="E79" i="8"/>
  <c r="F107" i="35"/>
  <c r="F106" i="35" s="1"/>
  <c r="F11" i="8"/>
  <c r="F9" i="8" s="1"/>
  <c r="G28" i="35"/>
  <c r="G27" i="35" s="1"/>
  <c r="H28" i="35"/>
  <c r="H27" i="35" s="1"/>
  <c r="G11" i="8"/>
  <c r="I28" i="35"/>
  <c r="I27" i="35" s="1"/>
  <c r="H11" i="8"/>
  <c r="E11" i="8"/>
  <c r="F28" i="35"/>
  <c r="F27" i="35" s="1"/>
  <c r="I137" i="35"/>
  <c r="I136" i="35" s="1"/>
  <c r="H131" i="7"/>
  <c r="E211" i="7"/>
  <c r="F208" i="35"/>
  <c r="F206" i="35" s="1"/>
  <c r="E249" i="7"/>
  <c r="F243" i="35"/>
  <c r="F241" i="35" s="1"/>
  <c r="H137" i="35"/>
  <c r="H136" i="35" s="1"/>
  <c r="G131" i="7"/>
  <c r="F327" i="7"/>
  <c r="G310" i="35"/>
  <c r="G308" i="35" s="1"/>
  <c r="F101" i="35"/>
  <c r="E131" i="7"/>
  <c r="F138" i="35"/>
  <c r="F136" i="35" s="1"/>
  <c r="F211" i="7"/>
  <c r="G208" i="35"/>
  <c r="G206" i="35" s="1"/>
  <c r="F249" i="7"/>
  <c r="G243" i="35"/>
  <c r="G241" i="35" s="1"/>
  <c r="F131" i="7"/>
  <c r="G138" i="35"/>
  <c r="G136" i="35" s="1"/>
  <c r="E327" i="7"/>
  <c r="F310" i="35"/>
  <c r="F308" i="35" s="1"/>
  <c r="F93" i="7"/>
  <c r="I173" i="35"/>
  <c r="I171" i="35" s="1"/>
  <c r="H171" i="7"/>
  <c r="F171" i="7"/>
  <c r="G173" i="35"/>
  <c r="G171" i="35" s="1"/>
  <c r="E171" i="7"/>
  <c r="F173" i="35"/>
  <c r="F171" i="35" s="1"/>
  <c r="H102" i="35"/>
  <c r="H101" i="35" s="1"/>
  <c r="G93" i="7"/>
  <c r="I102" i="35"/>
  <c r="I101" i="35" s="1"/>
  <c r="H93" i="7"/>
  <c r="F11" i="7"/>
  <c r="G25" i="35"/>
  <c r="G22" i="35" s="1"/>
  <c r="E11" i="7"/>
  <c r="F25" i="35"/>
  <c r="F22" i="35" s="1"/>
  <c r="H23" i="35"/>
  <c r="H22" i="35" s="1"/>
  <c r="I23" i="35"/>
  <c r="I22" i="35" s="1"/>
  <c r="H267" i="6"/>
  <c r="F43" i="6"/>
  <c r="F42" i="6" s="1"/>
  <c r="E58" i="6"/>
  <c r="F64" i="35" s="1"/>
  <c r="E166" i="6"/>
  <c r="F201" i="35"/>
  <c r="F200" i="35" s="1"/>
  <c r="E267" i="6"/>
  <c r="F305" i="35"/>
  <c r="F302" i="35" s="1"/>
  <c r="G11" i="6"/>
  <c r="H17" i="35"/>
  <c r="H16" i="35" s="1"/>
  <c r="H131" i="35"/>
  <c r="H130" i="35" s="1"/>
  <c r="G104" i="6"/>
  <c r="F166" i="6"/>
  <c r="G201" i="35"/>
  <c r="G200" i="35" s="1"/>
  <c r="F199" i="6"/>
  <c r="G237" i="35"/>
  <c r="F267" i="6"/>
  <c r="G305" i="35"/>
  <c r="G302" i="35" s="1"/>
  <c r="I131" i="35"/>
  <c r="I130" i="35" s="1"/>
  <c r="H104" i="6"/>
  <c r="F165" i="35"/>
  <c r="G165" i="35"/>
  <c r="F135" i="6"/>
  <c r="I166" i="35"/>
  <c r="I165" i="35" s="1"/>
  <c r="H135" i="6"/>
  <c r="H166" i="35"/>
  <c r="H165" i="35" s="1"/>
  <c r="G135" i="6"/>
  <c r="I96" i="35"/>
  <c r="I95" i="35" s="1"/>
  <c r="H73" i="6"/>
  <c r="H96" i="35"/>
  <c r="H95" i="35" s="1"/>
  <c r="G73" i="6"/>
  <c r="H266" i="35"/>
  <c r="H265" i="35" s="1"/>
  <c r="H262" i="35" s="1"/>
  <c r="E141" i="1"/>
  <c r="F300" i="35"/>
  <c r="F299" i="35" s="1"/>
  <c r="E157" i="1"/>
  <c r="F335" i="35"/>
  <c r="F334" i="35" s="1"/>
  <c r="E59" i="1"/>
  <c r="F128" i="35"/>
  <c r="F127" i="35" s="1"/>
  <c r="F125" i="1"/>
  <c r="G266" i="35"/>
  <c r="G265" i="35" s="1"/>
  <c r="F58" i="35"/>
  <c r="E92" i="1"/>
  <c r="F198" i="35" s="1"/>
  <c r="I266" i="35"/>
  <c r="I265" i="35" s="1"/>
  <c r="I262" i="35" s="1"/>
  <c r="G299" i="35"/>
  <c r="E75" i="1"/>
  <c r="G58" i="35"/>
  <c r="E125" i="1"/>
  <c r="F266" i="35"/>
  <c r="F265" i="35" s="1"/>
  <c r="G162" i="35"/>
  <c r="H93" i="35"/>
  <c r="H92" i="35" s="1"/>
  <c r="I93" i="35"/>
  <c r="I92" i="35" s="1"/>
  <c r="E11" i="1"/>
  <c r="F14" i="35"/>
  <c r="F13" i="35" s="1"/>
  <c r="F11" i="1"/>
  <c r="G14" i="35"/>
  <c r="G13" i="35" s="1"/>
  <c r="F12" i="35"/>
  <c r="F11" i="35" s="1"/>
  <c r="I12" i="35"/>
  <c r="I11" i="35" s="1"/>
  <c r="F57" i="35"/>
  <c r="G91" i="35"/>
  <c r="G90" i="35" s="1"/>
  <c r="G12" i="35"/>
  <c r="G11" i="35" s="1"/>
  <c r="G57" i="35"/>
  <c r="G56" i="35" s="1"/>
  <c r="H12" i="35"/>
  <c r="H11" i="35" s="1"/>
  <c r="F161" i="35"/>
  <c r="F160" i="35" s="1"/>
  <c r="G161" i="35"/>
  <c r="G160" i="35" s="1"/>
  <c r="H161" i="35"/>
  <c r="H160" i="35" s="1"/>
  <c r="H126" i="35"/>
  <c r="H125" i="35" s="1"/>
  <c r="I126" i="35"/>
  <c r="I125" i="35" s="1"/>
  <c r="H91" i="35"/>
  <c r="H90" i="35" s="1"/>
  <c r="I91" i="35"/>
  <c r="I90" i="35" s="1"/>
  <c r="E266" i="8"/>
  <c r="F315" i="35"/>
  <c r="F313" i="35" s="1"/>
  <c r="F56" i="35"/>
  <c r="H59" i="5"/>
  <c r="E30" i="5"/>
  <c r="G89" i="9"/>
  <c r="E135" i="9"/>
  <c r="H11" i="6"/>
  <c r="E135" i="6"/>
  <c r="F101" i="5"/>
  <c r="E65" i="10"/>
  <c r="E34" i="9"/>
  <c r="E93" i="7"/>
  <c r="F81" i="6"/>
  <c r="G97" i="35" s="1"/>
  <c r="F96" i="6"/>
  <c r="G99" i="35" s="1"/>
  <c r="F104" i="6"/>
  <c r="E96" i="6"/>
  <c r="F99" i="35" s="1"/>
  <c r="E50" i="6"/>
  <c r="F63" i="35" s="1"/>
  <c r="F74" i="6"/>
  <c r="G96" i="35" s="1"/>
  <c r="F89" i="6"/>
  <c r="G98" i="35" s="1"/>
  <c r="E105" i="6"/>
  <c r="E43" i="6"/>
  <c r="E81" i="6"/>
  <c r="F97" i="35" s="1"/>
  <c r="E11" i="6"/>
  <c r="F92" i="1"/>
  <c r="G198" i="35" s="1"/>
  <c r="E99" i="1"/>
  <c r="F199" i="35" s="1"/>
  <c r="E109" i="1"/>
  <c r="F233" i="35" s="1"/>
  <c r="E27" i="1"/>
  <c r="F141" i="1"/>
  <c r="F158" i="1"/>
  <c r="E44" i="1"/>
  <c r="F93" i="35" s="1"/>
  <c r="E51" i="1"/>
  <c r="F94" i="35" s="1"/>
  <c r="F99" i="1"/>
  <c r="G199" i="35" s="1"/>
  <c r="F44" i="1"/>
  <c r="G93" i="35" s="1"/>
  <c r="F27" i="1"/>
  <c r="F51" i="1"/>
  <c r="G94" i="35" s="1"/>
  <c r="E117" i="1"/>
  <c r="F117" i="1"/>
  <c r="G234" i="35" s="1"/>
  <c r="F59" i="1"/>
  <c r="F109" i="1"/>
  <c r="G233" i="35" s="1"/>
  <c r="E69" i="5"/>
  <c r="E79" i="5"/>
  <c r="F69" i="5"/>
  <c r="F79" i="5"/>
  <c r="E101" i="5"/>
  <c r="E199" i="6"/>
  <c r="F11" i="6"/>
  <c r="F9" i="7" l="1"/>
  <c r="F9" i="10"/>
  <c r="E91" i="1"/>
  <c r="H9" i="10"/>
  <c r="F9" i="9"/>
  <c r="H9" i="9"/>
  <c r="H9" i="8"/>
  <c r="H9" i="7"/>
  <c r="G130" i="35"/>
  <c r="G124" i="35" s="1"/>
  <c r="G62" i="35"/>
  <c r="G61" i="35" s="1"/>
  <c r="G232" i="35"/>
  <c r="H8" i="5"/>
  <c r="G197" i="35"/>
  <c r="G92" i="35"/>
  <c r="I10" i="35"/>
  <c r="F95" i="35"/>
  <c r="G95" i="35"/>
  <c r="H10" i="35"/>
  <c r="E197" i="6"/>
  <c r="F236" i="35"/>
  <c r="F235" i="35" s="1"/>
  <c r="F197" i="6"/>
  <c r="G236" i="35"/>
  <c r="G235" i="35" s="1"/>
  <c r="E104" i="6"/>
  <c r="F131" i="35"/>
  <c r="F130" i="35" s="1"/>
  <c r="E42" i="6"/>
  <c r="F62" i="35"/>
  <c r="F61" i="35" s="1"/>
  <c r="H9" i="6"/>
  <c r="E107" i="1"/>
  <c r="F234" i="35"/>
  <c r="F157" i="1"/>
  <c r="G335" i="35"/>
  <c r="G334" i="35" s="1"/>
  <c r="F197" i="35"/>
  <c r="F232" i="35"/>
  <c r="F331" i="35"/>
  <c r="F92" i="35"/>
  <c r="F10" i="35"/>
  <c r="G10" i="35"/>
  <c r="F264" i="35"/>
  <c r="F263" i="35" s="1"/>
  <c r="F298" i="35"/>
  <c r="F297" i="35" s="1"/>
  <c r="F91" i="35"/>
  <c r="F90" i="35" s="1"/>
  <c r="G298" i="35"/>
  <c r="G297" i="35" s="1"/>
  <c r="F231" i="35"/>
  <c r="F230" i="35" s="1"/>
  <c r="G264" i="35"/>
  <c r="G263" i="35" s="1"/>
  <c r="G231" i="35"/>
  <c r="G230" i="35" s="1"/>
  <c r="F196" i="35"/>
  <c r="F195" i="35" s="1"/>
  <c r="G55" i="35"/>
  <c r="G89" i="35"/>
  <c r="F159" i="35"/>
  <c r="G159" i="35"/>
  <c r="H159" i="35"/>
  <c r="I124" i="35"/>
  <c r="H124" i="35"/>
  <c r="I89" i="35"/>
  <c r="H89" i="35"/>
  <c r="I161" i="35"/>
  <c r="F8" i="5"/>
  <c r="G196" i="35"/>
  <c r="E73" i="6"/>
  <c r="F73" i="6"/>
  <c r="F91" i="1"/>
  <c r="F43" i="1"/>
  <c r="E43" i="1"/>
  <c r="F107" i="1"/>
  <c r="F9" i="1" l="1"/>
  <c r="F9" i="6"/>
  <c r="F55" i="35"/>
  <c r="F124" i="35"/>
  <c r="G331" i="35"/>
  <c r="F89" i="35"/>
  <c r="F194" i="35"/>
  <c r="F262" i="35"/>
  <c r="G262" i="35"/>
  <c r="G229" i="35"/>
  <c r="G296" i="35"/>
  <c r="F229" i="35"/>
  <c r="F296" i="35"/>
  <c r="G195" i="35"/>
  <c r="I160" i="35"/>
  <c r="G194" i="35" l="1"/>
  <c r="G8" i="35" s="1"/>
  <c r="I159" i="35"/>
  <c r="I8" i="35" s="1"/>
</calcChain>
</file>

<file path=xl/sharedStrings.xml><?xml version="1.0" encoding="utf-8"?>
<sst xmlns="http://schemas.openxmlformats.org/spreadsheetml/2006/main" count="9332" uniqueCount="445">
  <si>
    <t>PROGRAM/PROJECT/ACTIVITY</t>
  </si>
  <si>
    <t>Amount Released</t>
  </si>
  <si>
    <t>Status</t>
  </si>
  <si>
    <t>Municipality</t>
  </si>
  <si>
    <t>Nature/ Scope</t>
  </si>
  <si>
    <t>Pantawid Pamilyang Pilipino Program</t>
  </si>
  <si>
    <t>Supplemental Feeding Program</t>
  </si>
  <si>
    <t>Sustainable Livelihood Program</t>
  </si>
  <si>
    <t>Botolan</t>
  </si>
  <si>
    <t>Cabangan</t>
  </si>
  <si>
    <t>Candelaria</t>
  </si>
  <si>
    <t>Iba</t>
  </si>
  <si>
    <t>Masinloc</t>
  </si>
  <si>
    <t>Palauig</t>
  </si>
  <si>
    <t>GRAND TOTAL</t>
  </si>
  <si>
    <t>on-going</t>
  </si>
  <si>
    <t>Social Pension Program</t>
  </si>
  <si>
    <t>Aid to Individuals/families in Crisis Situation (AICS)</t>
  </si>
  <si>
    <t>Financial Assistance</t>
  </si>
  <si>
    <t>monthly stipend to indigent senior citizen</t>
  </si>
  <si>
    <t>Feeding Program to Day Care Children</t>
  </si>
  <si>
    <t>Conditional Cash Transfer</t>
  </si>
  <si>
    <t>Cash-for-Work Assistance</t>
  </si>
  <si>
    <t>Emergency Relief Assistance</t>
  </si>
  <si>
    <t>augmentation assistance</t>
  </si>
  <si>
    <t>as the need arises</t>
  </si>
  <si>
    <t>Prepared by:</t>
  </si>
  <si>
    <t>GRACIA A. ZABLAN</t>
  </si>
  <si>
    <t>Reviewed by:</t>
  </si>
  <si>
    <t>LALAINE R. DE LEON</t>
  </si>
  <si>
    <t>Chief, Policy and Plan Division</t>
  </si>
  <si>
    <t>Noted by:</t>
  </si>
  <si>
    <t>ADELINA S. APOSTOL</t>
  </si>
  <si>
    <t>Regional Director</t>
  </si>
  <si>
    <t>Note:</t>
  </si>
  <si>
    <t>Note: This are the internally displaced victims of Typhoon Quiel and Pedring</t>
  </si>
  <si>
    <t xml:space="preserve">March to June, 2013 </t>
  </si>
  <si>
    <t>Financial Assistance  to Disaster Victims thru CFW</t>
  </si>
  <si>
    <t>completed</t>
  </si>
  <si>
    <t>DEPARTMENT OF SOCIAL WELFARE AND DEVELOPMENT</t>
  </si>
  <si>
    <t>FIELD OFFICE III</t>
  </si>
  <si>
    <t>JANUARY TO NOVEMBER 2013</t>
  </si>
  <si>
    <t>Abucay</t>
  </si>
  <si>
    <t>Dinalupihan</t>
  </si>
  <si>
    <t>Hermosa</t>
  </si>
  <si>
    <t>Morong</t>
  </si>
  <si>
    <t>Orani</t>
  </si>
  <si>
    <t>Samal</t>
  </si>
  <si>
    <t>No. of Ben.</t>
  </si>
  <si>
    <t>the amount allocated per municipality  was based on the Compliance Verification turn-out for  the period January to November  2013</t>
  </si>
  <si>
    <t>An innovative social development approach that aims to break the inter-generational poverty cycle by investing in human capital through the provision  of cash assistance ti extremely poor households for their health, nutrition and education, particularly their children aged 0-14, provided that they comply with certain conditions that allow the family to meet imporant human developmnent goals</t>
  </si>
  <si>
    <t>BRIEF DESCRIPTION</t>
  </si>
  <si>
    <t>A community-based capability-building program implemented through the Community Driven Enterprise Development Approach which equips program participants to actively contribute to production and labor markets by looking at available resources and accessible markets.  It relies on multi-stakeholder partnership and participatory community planning, implementation and monitoring</t>
  </si>
  <si>
    <t>Capital Assistance</t>
  </si>
  <si>
    <t>Provision of food in addition to the regular meals to currently enrolled day care childrn as part of the DSWD's contribution to the ECCD program of the government</t>
  </si>
  <si>
    <t>Provision of monthly stipend amounting to Five Hundred Pesos (PhP500.00) per month to indigent Senior Citizens to augment their daily subsistence and other medical needs</t>
  </si>
  <si>
    <t>refers to the provision of limited assistance in cash or in kind to individuals/families who are hampered to function normally because of socio-economic difficulties.</t>
  </si>
  <si>
    <t>Provision of food or cash grants to disaster victims/ displaced persons in exchange for their services or involvement in undertaking restoration and rehabilitation srvices at 75% of the daily regional wage, worth of either cash or food/family/day for a maximum period of 10 days while 25% as beneficiary equity.  However, the rate per day shall only be given to families who work for at least 8 hours/day</t>
  </si>
  <si>
    <t xml:space="preserve">Provision of timely and appropriate assistance to help alleviate the conditions/situations of distressed/displaced individuals/families and those who are victims of disasters and are in need of food, clothing, temporary shelter, emotional and moral support thru efficient and effective management of evacuation centers, provision of food and non-food assistance.
</t>
  </si>
  <si>
    <t>2014 Target</t>
  </si>
  <si>
    <t>Budget</t>
  </si>
  <si>
    <t xml:space="preserve">Modified Conditional Cash Transfer </t>
  </si>
  <si>
    <t>The MCCT is prototype  of the Pantawid Pamilyang Pilipino Program, the country's conditional cash transfer program.  The MCCT assists families with special needs to overcome their present difficult situation through the provision of PhP300.00 educational cash grant per month per child and PhP500.00 health cash grant for the family.</t>
  </si>
  <si>
    <t>Emergency Shelter Assistance</t>
  </si>
  <si>
    <t>Provision of limited financial or material assistance to families victims of disaster for the repair or construction of partially or totally damaged shelter units using community participation in the shelter rehabilitation process</t>
  </si>
  <si>
    <t>financial assistance</t>
  </si>
  <si>
    <t>victims of Typhoon Maring &amp; Habagat</t>
  </si>
  <si>
    <t>Cash/Food-for-Work</t>
  </si>
  <si>
    <t>Provision of food or cash grant to disastr victims/ displaced persons in exchage for their services or involvement in  undertaking restoration and rehabilitation  services at 75% of the daily regional wage, worth of either cash or food/family/day for a maximum of 10 days while 25% as beneficiary equity.  However, the rate per day shall only be given to families who work at least 8 hours/day</t>
  </si>
  <si>
    <t>rt</t>
  </si>
  <si>
    <t xml:space="preserve">REPRESENTATIVE:  HONORABLE </t>
  </si>
  <si>
    <t>Bagac</t>
  </si>
  <si>
    <t>City of Balanga</t>
  </si>
  <si>
    <t>Limay</t>
  </si>
  <si>
    <t>Mariveles</t>
  </si>
  <si>
    <t>Orion</t>
  </si>
  <si>
    <t>Pilar</t>
  </si>
  <si>
    <t>PROJECTS IMPLEMENTED IN THE 2ND DISTRICT OF BATAAN</t>
  </si>
  <si>
    <t>no proposal</t>
  </si>
  <si>
    <t>1st District</t>
  </si>
  <si>
    <t>2nd District</t>
  </si>
  <si>
    <t>TOTAL</t>
  </si>
  <si>
    <t>Lone District</t>
  </si>
  <si>
    <t>Baler</t>
  </si>
  <si>
    <t>Casiguran</t>
  </si>
  <si>
    <t>Dilasag</t>
  </si>
  <si>
    <t>Dinalungan</t>
  </si>
  <si>
    <t>Dingalan</t>
  </si>
  <si>
    <t>Dipaculao</t>
  </si>
  <si>
    <t>Maria Aurora</t>
  </si>
  <si>
    <t>San Luis</t>
  </si>
  <si>
    <t>Bulacan</t>
  </si>
  <si>
    <t>Calumpit</t>
  </si>
  <si>
    <t>City of Malolos</t>
  </si>
  <si>
    <t>Hagonoy</t>
  </si>
  <si>
    <t>Paombong</t>
  </si>
  <si>
    <t>Pulilan</t>
  </si>
  <si>
    <t>3rd District</t>
  </si>
  <si>
    <t>4th District</t>
  </si>
  <si>
    <t>5th District</t>
  </si>
  <si>
    <t>Balagtas</t>
  </si>
  <si>
    <t>Baliuag</t>
  </si>
  <si>
    <t>Bocaue</t>
  </si>
  <si>
    <t xml:space="preserve">Bustos </t>
  </si>
  <si>
    <t>Guiguinto</t>
  </si>
  <si>
    <t>Pandi</t>
  </si>
  <si>
    <t>Plaridel</t>
  </si>
  <si>
    <t>Angat</t>
  </si>
  <si>
    <t xml:space="preserve">DRT </t>
  </si>
  <si>
    <t>Norzagaray</t>
  </si>
  <si>
    <t>San Ildefonso</t>
  </si>
  <si>
    <t>San Miguel</t>
  </si>
  <si>
    <t xml:space="preserve">San Rafael </t>
  </si>
  <si>
    <t>City of Meycauayan</t>
  </si>
  <si>
    <t>Marilao</t>
  </si>
  <si>
    <t>Obando</t>
  </si>
  <si>
    <t>Sta. Maria</t>
  </si>
  <si>
    <t xml:space="preserve">SJDM CITY </t>
  </si>
  <si>
    <t xml:space="preserve">Aliaga </t>
  </si>
  <si>
    <t>Cuyapo</t>
  </si>
  <si>
    <t>Guimba</t>
  </si>
  <si>
    <t xml:space="preserve">Licab </t>
  </si>
  <si>
    <t xml:space="preserve">Nampicuan </t>
  </si>
  <si>
    <t xml:space="preserve">Quezon </t>
  </si>
  <si>
    <t>Sto. Domingo</t>
  </si>
  <si>
    <t>Talavera</t>
  </si>
  <si>
    <t xml:space="preserve">Zaragoza </t>
  </si>
  <si>
    <t>Carranglan</t>
  </si>
  <si>
    <t xml:space="preserve">Llanera </t>
  </si>
  <si>
    <t xml:space="preserve">Lupao </t>
  </si>
  <si>
    <t xml:space="preserve">Pantabangan </t>
  </si>
  <si>
    <t>Rizal</t>
  </si>
  <si>
    <t>San Jose City</t>
  </si>
  <si>
    <t>Science City of Munoz</t>
  </si>
  <si>
    <t xml:space="preserve">Talugtog </t>
  </si>
  <si>
    <t>Bongabon</t>
  </si>
  <si>
    <t>Cabanatuan City</t>
  </si>
  <si>
    <t xml:space="preserve">Gabaldon </t>
  </si>
  <si>
    <t xml:space="preserve">Gen. Natividad </t>
  </si>
  <si>
    <t xml:space="preserve">Laur </t>
  </si>
  <si>
    <t>Palayan City</t>
  </si>
  <si>
    <t>Sta. Rosa</t>
  </si>
  <si>
    <t>Cabiao</t>
  </si>
  <si>
    <t>City of Gapan</t>
  </si>
  <si>
    <t>Gen. Tinio</t>
  </si>
  <si>
    <t>Jaen</t>
  </si>
  <si>
    <t xml:space="preserve">Penaranda </t>
  </si>
  <si>
    <t>San Antonio</t>
  </si>
  <si>
    <t xml:space="preserve">San Isidro </t>
  </si>
  <si>
    <t xml:space="preserve">San Leonardo </t>
  </si>
  <si>
    <t>ANGELES CITY</t>
  </si>
  <si>
    <t>Mabalacat</t>
  </si>
  <si>
    <t>Magalang</t>
  </si>
  <si>
    <t>Floridablanca</t>
  </si>
  <si>
    <t>Guagua</t>
  </si>
  <si>
    <t>Lubao</t>
  </si>
  <si>
    <t xml:space="preserve">Porac </t>
  </si>
  <si>
    <t xml:space="preserve">Sasmuan </t>
  </si>
  <si>
    <t xml:space="preserve">Sta. Rita </t>
  </si>
  <si>
    <t>Arayat</t>
  </si>
  <si>
    <t>Bacolor</t>
  </si>
  <si>
    <t>City of San Fernando</t>
  </si>
  <si>
    <t>Mexico</t>
  </si>
  <si>
    <t xml:space="preserve">Sta. Ana </t>
  </si>
  <si>
    <t>Apalit</t>
  </si>
  <si>
    <t>Candaba</t>
  </si>
  <si>
    <t>Macabebe</t>
  </si>
  <si>
    <t>Masantol</t>
  </si>
  <si>
    <t xml:space="preserve">Minalin </t>
  </si>
  <si>
    <t xml:space="preserve">San Luis </t>
  </si>
  <si>
    <t xml:space="preserve">San Simon </t>
  </si>
  <si>
    <t>Sto. Tomas</t>
  </si>
  <si>
    <t xml:space="preserve">Anao </t>
  </si>
  <si>
    <t>Camiling</t>
  </si>
  <si>
    <t>Mayantoc</t>
  </si>
  <si>
    <t>Moncada</t>
  </si>
  <si>
    <t>Paniqui</t>
  </si>
  <si>
    <t xml:space="preserve">Pura </t>
  </si>
  <si>
    <t xml:space="preserve">Ramos </t>
  </si>
  <si>
    <t xml:space="preserve">San Clemente </t>
  </si>
  <si>
    <t xml:space="preserve">San Manuel </t>
  </si>
  <si>
    <t xml:space="preserve">Sta. Ignacia </t>
  </si>
  <si>
    <t>Gerona</t>
  </si>
  <si>
    <t xml:space="preserve">San Jose </t>
  </si>
  <si>
    <t xml:space="preserve">TARLAC CITY </t>
  </si>
  <si>
    <t>Victoria</t>
  </si>
  <si>
    <t xml:space="preserve">Bamban </t>
  </si>
  <si>
    <t xml:space="preserve">Capas </t>
  </si>
  <si>
    <t>Concepcion</t>
  </si>
  <si>
    <t xml:space="preserve">La Paz </t>
  </si>
  <si>
    <t xml:space="preserve">Castillejos  </t>
  </si>
  <si>
    <t>Olongapo City</t>
  </si>
  <si>
    <t xml:space="preserve">San Marcelino </t>
  </si>
  <si>
    <t>Subic</t>
  </si>
  <si>
    <t xml:space="preserve">Botolan </t>
  </si>
  <si>
    <t xml:space="preserve">Cabangan </t>
  </si>
  <si>
    <t xml:space="preserve">Candelaria </t>
  </si>
  <si>
    <t xml:space="preserve">Palauig </t>
  </si>
  <si>
    <t xml:space="preserve">San Felipe </t>
  </si>
  <si>
    <t xml:space="preserve">San Narciso </t>
  </si>
  <si>
    <t>Sta. Cruz</t>
  </si>
  <si>
    <t>Assistance to the Victims of Typhoon Yolanda</t>
  </si>
  <si>
    <t xml:space="preserve">Provision of timely and appropriate assistance to Typhoon Yolanda victims who fled from their place of origin
</t>
  </si>
  <si>
    <t>Prov'l Gov't</t>
  </si>
  <si>
    <t>c/o Cong Roman</t>
  </si>
  <si>
    <t>using 2012 budget</t>
  </si>
  <si>
    <t>using 2012 fund</t>
  </si>
  <si>
    <t>using 2012 funds</t>
  </si>
  <si>
    <t>using 2011 funds</t>
  </si>
  <si>
    <t xml:space="preserve"> </t>
  </si>
  <si>
    <t>c/o Cong Alvarado</t>
  </si>
  <si>
    <t>c/o Cong Mendoza</t>
  </si>
  <si>
    <t>Provincial Government</t>
  </si>
  <si>
    <t>including PDAF funds</t>
  </si>
  <si>
    <t>San Leonardo</t>
  </si>
  <si>
    <t>c/o Cong Antonino</t>
  </si>
  <si>
    <t>c/o Prov'l Gov't.</t>
  </si>
  <si>
    <t>c/o Cong Guiao</t>
  </si>
  <si>
    <t>c/o Cong Rodriguez</t>
  </si>
  <si>
    <t>c/o Cong Bondoc</t>
  </si>
  <si>
    <t>c/o Cong Yap</t>
  </si>
  <si>
    <t>c/o Cong Khonghun</t>
  </si>
  <si>
    <t>c/o Cong Deloso</t>
  </si>
  <si>
    <t>Planning Officer II</t>
  </si>
  <si>
    <t>JANUARY TO DECEMBER 2013 PROJECTS IMPLEMENTED IN 2ND DISTRICT OF BATAAN AND 2014 TARGETS</t>
  </si>
  <si>
    <t>JANUARY TO DECEMBER 2013 PROJECTS IMPLEMENTED IN 1st DISTRICT OF BATAAN AND 2014 TARGETS</t>
  </si>
  <si>
    <t>JANUARY TO DECEMBER 2013 PROJECTS IMPLEMENTED IN THE 1ST DISTRICT OF BULACAN AND 2014 TARGET</t>
  </si>
  <si>
    <t>JANUARY TO DECEMBER 2013 PROJECTS IMPLEMENTED IN THE 2ND DISTRICT OF BULACAN AND 2014 TARGET</t>
  </si>
  <si>
    <t>JANUARY TO DECEMBER 2013 PROJECTS IMPLEMENTED IN THE 3RD DISTRICT OF BULACAN AND 2014 TARGET</t>
  </si>
  <si>
    <t>JANUARY TO DECEMBER 2013 PROJECTS IMPLEMENTED IN THE 4TH DISTRICT OF BULACAN AND 2014 TARGET</t>
  </si>
  <si>
    <t>JANUARY TO DECEMBER 2013 PROJECTS IMPLEMENTED IN THE 5th DISTRICT BULACAN AND 2014 TARGET</t>
  </si>
  <si>
    <t>JANUARY TO DECEMBER 2013 PROJECTS IMPLEMENTED IN THE 1ST DISTRICT OF NUEVA ECIJA AND 2014 TARGETS</t>
  </si>
  <si>
    <t>JANUARY TO DECEMBER 2013 PROJECTS IMPLEMENTED IN THE 2ND DISTRICT OF NUEVA ECIJA AND 2014 TARGETS</t>
  </si>
  <si>
    <t>JANUARY TO DECEMBER 2013 PROJECTS IMPLEMENTED IN THE 3RD DISTRICT OF NUEVA ECIJA AND 2014 TARGETS</t>
  </si>
  <si>
    <t>JANUARY TO DECEMBER 2013 PROJECTS IMPLEMENTED IN THE 4th DISTRICT OF NUEVA ECIJA AND 2014 TARGETS</t>
  </si>
  <si>
    <t>JANUARY TO DECEMBER 2013 PROJECTS IMPLEMENTED IN THE 1ST DISTRICT OF PAMPANGA AND 2014 TARGETS</t>
  </si>
  <si>
    <t>JANUARY TO DECEMBER 2013 PROJECTS IMPLEMENTED IN THE 2ND DISTRICT OF PAMPANGA AND 2014 TARGETS</t>
  </si>
  <si>
    <t>JANUARY TO DECEMBER 2013 PROJECTS IMPLEMENTED IN THE 3RD DISTRICT OF PAMPANGA AND 2014 TARGETS</t>
  </si>
  <si>
    <t>JANUARY TO DECEMBER 2013 PROJECTS IMPLEMENTED IN THE 4TH DISTRICT OF PAMPANGA AND 2014 TARGETS</t>
  </si>
  <si>
    <t>JANUARY TO DECEMBER 2013 PROJECTS IMPLEMENTED IN THE 1ST DISTRICT OF TARLAC AND 2014 TARGETS</t>
  </si>
  <si>
    <t>JANUARY TO DECEMBER 2013 PROJECTS IMPLEMENTED IN THE 2ND DISTRICT OF TARLAC AND 2014 TARGETS</t>
  </si>
  <si>
    <t>JANUARY TO DECEMBER 2013 PROJECTS IMPLEMENTED IN THE 3RD DISTRICT OF TARLAC AND 2014 TARGETS</t>
  </si>
  <si>
    <t>JANUARY TO DECEMBER 2013 PROJECTS IMPLEMENTED IN THE FIRST DISTRICT OF ZAMBALES AND 2014 TARGET</t>
  </si>
  <si>
    <t>JANUARY TO DECEMBER 2013 PROJECTS IMPLEMENTED IN THE 2ND DISTRICT OF ZAMBALES and CY 2014 TARGETS</t>
  </si>
  <si>
    <t>Province</t>
  </si>
  <si>
    <t>District No.</t>
  </si>
  <si>
    <t>Aurora</t>
  </si>
  <si>
    <t>Bataan</t>
  </si>
  <si>
    <t>1st</t>
  </si>
  <si>
    <t>2nd</t>
  </si>
  <si>
    <t xml:space="preserve">Lone </t>
  </si>
  <si>
    <t>an approach to preparing the budget proposal of agencies, taking into consideration the development needs of poor cities/municipalities as identified in their respective local poverty reduction action plans that shall be formulated with strong participation of basic sector organizations and other civil society organizations.</t>
  </si>
  <si>
    <t>Bottom-Up Budgeting or the Grassroots Budgeting</t>
  </si>
  <si>
    <t>No. of Projects</t>
  </si>
  <si>
    <t>Funding Requirement</t>
  </si>
  <si>
    <t>2014 BOTTOM-UP BUDGETING IN THE LONE DISTRICT OF AURORA</t>
  </si>
  <si>
    <t>2014 BOTTOM-UP BUDGETING IN THE 1ST DISTRICT OF BATAAN</t>
  </si>
  <si>
    <t>2014 BOTTOM-UP BUDGETING IN THE 1ST DISTRICT OF BULACAN</t>
  </si>
  <si>
    <t>2014 BOTTOM-UP BUDGETING IN THE 2ND DISTRICT OF BULACAN</t>
  </si>
  <si>
    <t>2014 BOTTOM-UP BUDGETING IN THE 3RD DISTRICT OF BULACAN</t>
  </si>
  <si>
    <t>2014 BOTTOM-UP BUDGETING IN THE 4TH DISTRICT OF BULACAN</t>
  </si>
  <si>
    <t>2014 BOTTOM-UP BUDGETING IN THE 1ST DISTRICT OF NUEVA ECIJA</t>
  </si>
  <si>
    <t>Quezon</t>
  </si>
  <si>
    <t>Zaragoza</t>
  </si>
  <si>
    <t>2014 BOTTOM-UP BUDGETING IN THE 2ND DISTRICT OF NUEVA ECIJA</t>
  </si>
  <si>
    <t>Lupao</t>
  </si>
  <si>
    <t>Pantabangan</t>
  </si>
  <si>
    <t>2014 BOTTOM-UP BUDGETING IN THE 3rd DISTRICT OF NUEVA ECIJA</t>
  </si>
  <si>
    <t>Laur</t>
  </si>
  <si>
    <t>Gabaldon</t>
  </si>
  <si>
    <t>Gen. Natividad</t>
  </si>
  <si>
    <t>2014 BOTTOM-UP BUDGETING IN THE 2nd DISTRICT OF PAMPANGA</t>
  </si>
  <si>
    <t>2ND District</t>
  </si>
  <si>
    <t>Sasmuan</t>
  </si>
  <si>
    <t>2014 BOTTOM-UP BUDGETING IN THE 3rd DISTRICT OF PAMPANGA</t>
  </si>
  <si>
    <t>2014 BOTTOM-UP BUDGETING IN THE 4th DISTRICT OF PAMPANGA</t>
  </si>
  <si>
    <t>San Simon</t>
  </si>
  <si>
    <t>2014 BOTTOM-UP BUDGETING IN THE 1st DISTRICT OF TARLAC</t>
  </si>
  <si>
    <t>1ST DISTRICT</t>
  </si>
  <si>
    <t>Sta. Ignacia</t>
  </si>
  <si>
    <t>San Jose</t>
  </si>
  <si>
    <t>Tarlac City</t>
  </si>
  <si>
    <t>2014 BOTTOM-UP BUDGETING IN THE 2nd DISTRICT OF TARLAC</t>
  </si>
  <si>
    <t>2014 BOTTOM-UP BUDGETING IN THE 3rd DISTRICT OF TARLAC</t>
  </si>
  <si>
    <t>La Paz</t>
  </si>
  <si>
    <t>2014 BOTTOM-UP BUDGETING IN THE 1st DISTRICT OF ZAMBALES</t>
  </si>
  <si>
    <t>1st  District</t>
  </si>
  <si>
    <t>2014 BOTTOM-UP BUDGETING IN THE 2nd DISTRICT OF ZAMBALES</t>
  </si>
  <si>
    <t>3rd</t>
  </si>
  <si>
    <t>4th</t>
  </si>
  <si>
    <t>5th</t>
  </si>
  <si>
    <t>Zambales</t>
  </si>
  <si>
    <t>JANUARY TO DECEMBER 2013 PROJECTS IMPLEMENTED BY PROVINCE BY CONGRESSIONAL DISTRICT AND 2014 TARGETS</t>
  </si>
  <si>
    <t>2014 BOTTOM-UP BUDGETING IN REGION III PER PROVINCE/CITY/MUNICIPALITY BY CONGRESSIONAL DISTRICT</t>
  </si>
  <si>
    <t>AURORA</t>
  </si>
  <si>
    <t>BATAAN</t>
  </si>
  <si>
    <t>BULACAN</t>
  </si>
  <si>
    <t>NUEVA ECIJA</t>
  </si>
  <si>
    <t>PAMPANGA</t>
  </si>
  <si>
    <t>TARLAC</t>
  </si>
  <si>
    <t>ZAMBALES</t>
  </si>
  <si>
    <t>REGIONAL</t>
  </si>
  <si>
    <t>CITY OF SAN FERNANDO, PAMPANGA</t>
  </si>
  <si>
    <t>PROVINCE</t>
  </si>
  <si>
    <t>PROGRAMS/PROJECTS IMPLEMENTED</t>
  </si>
  <si>
    <t>Amount Granted</t>
  </si>
  <si>
    <t>Supplementary Feeding Program</t>
  </si>
  <si>
    <t>No. of Households</t>
  </si>
  <si>
    <t>No. of Families</t>
  </si>
  <si>
    <t>No. of Day Care Children</t>
  </si>
  <si>
    <t>No. of Individuals</t>
  </si>
  <si>
    <t>Olongapo</t>
  </si>
  <si>
    <t>JANUARY TO DECEMBER 2013 PROJECTS IMPLEMENTED IN OLONGAPO CITY AND 2014 TARGET</t>
  </si>
  <si>
    <t>Community Driven Projects</t>
  </si>
  <si>
    <t>4 projects</t>
  </si>
  <si>
    <t>CY 2014 Target</t>
  </si>
  <si>
    <t xml:space="preserve"> PROJECTS IMPLEMENTED IN THE PROVINCE OF AURORA</t>
  </si>
  <si>
    <t>Bottom-Up Budgeting or the Grassroots Participatory Budgeting</t>
  </si>
  <si>
    <t xml:space="preserve"> PROJECTS IMPLEMENTED IN THE PROVINCE OF BATAAN</t>
  </si>
  <si>
    <t xml:space="preserve"> PROJECTS IMPLEMENTED IN THE PROVINCE OF ZAMBALES</t>
  </si>
  <si>
    <t xml:space="preserve"> PROJECTS IMPLEMENTED IN THE PROVINCE OF TARLAC</t>
  </si>
  <si>
    <t xml:space="preserve"> PROJECTS IMPLEMENTED IN THE PROVINCE OF PAMPANGA</t>
  </si>
  <si>
    <t xml:space="preserve"> PROJECTS IMPLEMENTED IN THE PROVINCE OF NUEVA ECIJA</t>
  </si>
  <si>
    <t xml:space="preserve"> PROJECTS IMPLEMENTED IN THE PROVINCE OF BULACAN</t>
  </si>
  <si>
    <t>CY 2013 Accomplishment</t>
  </si>
  <si>
    <t>As of May 2014</t>
  </si>
  <si>
    <t>HONORABLE BELLAFLOR ANGARA-CASTILLO</t>
  </si>
  <si>
    <t>Plan</t>
  </si>
  <si>
    <t>Grassroots Participatory Budgeting</t>
  </si>
  <si>
    <t>Expanded AICS</t>
  </si>
  <si>
    <t>No. of Senior Citizens</t>
  </si>
  <si>
    <t>Aid to Individuals in Crisis Situation (Regular)</t>
  </si>
  <si>
    <t>No. of Families/ Individuals</t>
  </si>
  <si>
    <t>Actual</t>
  </si>
  <si>
    <t>PROGRAMS/PROJECTS IMPLEMENTED IN THE FIRST DISTRICT OF BULACAN</t>
  </si>
  <si>
    <t>PROGRAMS/PROJECTS IMPLEMENTED IN THE LONE DISTRICT OF AURORA</t>
  </si>
  <si>
    <t>HONORABLE HERMINIA B. ROMAN</t>
  </si>
  <si>
    <t>HONORABLE ENRIQUE T. GARCIA</t>
  </si>
  <si>
    <t>HONORABLE VICTORIA R. SY-ALVARADO</t>
  </si>
  <si>
    <t>PROGRAMS/PROJECTS IMPLEMENTED IN THE FIRST DISTRICT OF BATAAN</t>
  </si>
  <si>
    <t>PROGRAMS/PROJECTS IMPLEMENTED IN THE SECOND DISTRICT OF BATAAN</t>
  </si>
  <si>
    <t>HONORABLE GAVINI C. PANCHO</t>
  </si>
  <si>
    <t>HONORABLE JOSELITO ANDREW R. MENDOZA</t>
  </si>
  <si>
    <t>HONORABLE LINABELLE RUTH R. VILLARICA</t>
  </si>
  <si>
    <t>City of San Jose del Monte</t>
  </si>
  <si>
    <t>HONORABLE ARTHUR ROBES</t>
  </si>
  <si>
    <t>PROGRAMS/PROJECTS IMPLEMENTED IN THE FIRST DISTRICT OF NUEVA ECIJA</t>
  </si>
  <si>
    <t>HONORABLE ESTRELLITA B. SUANSING</t>
  </si>
  <si>
    <t>HONORABLE JOSEPH GILBERT VIOLAGO</t>
  </si>
  <si>
    <t>HONORABLE CZARINA UMALI</t>
  </si>
  <si>
    <t>HONORABLE MAGNOLIA ANTONINO-NADRES</t>
  </si>
  <si>
    <t>PROGRAMS/PROJECTS IMPLEMENTED IN THE FOURTH DISTRICT OF NUEVA ECIJA</t>
  </si>
  <si>
    <t>PROGRAMS/PROJECTS IMPLEMENTED IN THE THIRD DISTRICT OF NUEVA ECIJA</t>
  </si>
  <si>
    <t>PROGRAMS/PROJECTS IMPLEMENTED IN THE SECOND DISTRICT OF NUEVA ECIJA</t>
  </si>
  <si>
    <t>PROGRAMS/PROJECTS IMPLEMENTED IN THE FIRST DISTRICT OF PAMPANGA</t>
  </si>
  <si>
    <t>HONORABLE JOSELLER "YENG" GUIAO</t>
  </si>
  <si>
    <t>HONORABLE GLORIA MACAPAGAL-ARROYO</t>
  </si>
  <si>
    <t>HONORABLE OSCAR S. RODRIGUEZ</t>
  </si>
  <si>
    <t>HONORABLE JUAN PABLO BONDOC</t>
  </si>
  <si>
    <t>PROGRAMS/PROJECTS IMPLEMENTED IN THE FOURTH DISTRICT OF PAMPANGA</t>
  </si>
  <si>
    <t>PROGRAMS/PROJECTS IMPLEMENTED IN THE SECOND DISTRICT OF PAMPANGA</t>
  </si>
  <si>
    <t>PROGRAMS/PROJECTS IMPLEMENTED IN THE THIRD DISTRICT OF PAMPANGA</t>
  </si>
  <si>
    <t>HONORABLE ENRIQUE COJUANGCO</t>
  </si>
  <si>
    <t>HONORABLE NOEL VILLANUEVA</t>
  </si>
  <si>
    <t>PROGRAMS/PROJECTS IMPLEMENTED IN THE FIRST DISTRICT OF TARLAC</t>
  </si>
  <si>
    <t>PROGRAMS/PROJECTS IMPLEMENTED IN THE SECOND DISTRICT OF TARLAC</t>
  </si>
  <si>
    <t>PROGRAMS/PROJECTS IMPLEMENTED IN THE THIRD DISTRICT OF TARLAC</t>
  </si>
  <si>
    <t>HONORABLE CHERYL DELOSO-MONTALLA</t>
  </si>
  <si>
    <t>PROGRAMS/PROJECTS IMPLEMENTED IN THE SECOND DISTRICT OF ZAMBALES</t>
  </si>
  <si>
    <t>PROGRAMS/PROJECTS IMPLEMENTED IN THE FIRST DISTRICT OF ZAMBALES</t>
  </si>
  <si>
    <t>Nueva Ecija</t>
  </si>
  <si>
    <t>Pampanga</t>
  </si>
  <si>
    <t>Tarlac</t>
  </si>
  <si>
    <t>PROGRAMS/PROJECTS IMPLEMENTED IN CENTRAL LUZON</t>
  </si>
  <si>
    <t>TOTAL AMOUNT</t>
  </si>
  <si>
    <t xml:space="preserve">Emergency Shelter Assistance </t>
  </si>
  <si>
    <t xml:space="preserve">TOTAL </t>
  </si>
  <si>
    <t>Munipality</t>
  </si>
  <si>
    <t>City</t>
  </si>
  <si>
    <t>PROGRAMS/PROJECTS IMPLEMENTED IN THE LONE DISTRICT OF BULACAN</t>
  </si>
  <si>
    <t>PROGRAMS/PROJECTS IMPLEMENTED IN THE SECOND DISTRICT OF BULACAN</t>
  </si>
  <si>
    <t>PROGRAMS/PROJECTS IMPLEMENTED IN THE THIRD DISTRICT OF BULACAN</t>
  </si>
  <si>
    <t>PROGRAMS/PROJECTS IMPLEMENTED IN THE FOURTH DISTRICT OF BULACAN</t>
  </si>
  <si>
    <t>HONORABLE SUSAN YAP</t>
  </si>
  <si>
    <t>Other Province</t>
  </si>
  <si>
    <t>Cash For Work</t>
  </si>
  <si>
    <t>Assistance to the victims of Typhoon Yolanda</t>
  </si>
  <si>
    <t>Cash for Work</t>
  </si>
  <si>
    <t xml:space="preserve">Other Province </t>
  </si>
  <si>
    <t>Assistance to Victims of Yolanda</t>
  </si>
  <si>
    <t>Assistance to victims Yolanda</t>
  </si>
  <si>
    <t xml:space="preserve">Emergency Relief Assistance </t>
  </si>
  <si>
    <t>Emergency relief Assistance</t>
  </si>
  <si>
    <t>c/o Cong. Alvarado</t>
  </si>
  <si>
    <t>c/o Cong. Villarica</t>
  </si>
  <si>
    <t>c/o Cong Umali</t>
  </si>
  <si>
    <t>c/o Cong. Nadres</t>
  </si>
  <si>
    <t>2ND DISTRICT</t>
  </si>
  <si>
    <t>3RD DISRICT</t>
  </si>
  <si>
    <t>4TH DISTRICT</t>
  </si>
  <si>
    <t>5TH DISTRICT</t>
  </si>
  <si>
    <t>PROGRAMS/PROJECTS IMPLEMENTED IN THE PROVINCE OF BATAAN</t>
  </si>
  <si>
    <t>PROGRAMS/PROJECTS IMPLEMENTED IN THE PROVINCE OF BULACAN</t>
  </si>
  <si>
    <t>Emergency Relief Assistance (ERA)</t>
  </si>
  <si>
    <t>Emergency Shelter Assistance  (ESA)</t>
  </si>
  <si>
    <t>1ST DISRICT</t>
  </si>
  <si>
    <t>3RD DISTRICT</t>
  </si>
  <si>
    <t>LONE DISRICT</t>
  </si>
  <si>
    <t>LONE DISTRICT</t>
  </si>
  <si>
    <t>BUDGETARY REQUIREMENTS</t>
  </si>
  <si>
    <t>AMOUNT GRANTED</t>
  </si>
  <si>
    <t>PROGRAMS/PROJECTS IMPLEMENTED IN THE PROVINCE  OF NUEVA ECIJA</t>
  </si>
  <si>
    <t>From Other Regions</t>
  </si>
  <si>
    <t>From Region II &amp; VIII</t>
  </si>
  <si>
    <t>PROGRAMS/PROJECTS IMPLEMENTED IN THE PROVINCE OF PAMPANGA</t>
  </si>
  <si>
    <t>PROGRAMS/PROJECTS IMPLEMENTED IN THE PROVINCE OF TARLAC</t>
  </si>
  <si>
    <t>PROGRAMS/PROJECTS IMPLEMENTED IN THE PROVINCE OF ZAMBALES</t>
  </si>
  <si>
    <t>Aid to Individuals in Crisis Situation (Regular) As of Nov</t>
  </si>
  <si>
    <t>Food-for-Work</t>
  </si>
  <si>
    <t>Core Shelter Assistance Program</t>
  </si>
  <si>
    <t>Cash-for-Work</t>
  </si>
  <si>
    <t>Bottom-Up Budgeting</t>
  </si>
  <si>
    <t>FROM OTHER REGIONS</t>
  </si>
  <si>
    <t>OTHER REGIONS</t>
  </si>
  <si>
    <t xml:space="preserve">Expanded AICS </t>
  </si>
  <si>
    <t>HONORABLE JEFFREY KHONGHUN</t>
  </si>
  <si>
    <t>PROVINCE/DISTRICT</t>
  </si>
  <si>
    <t xml:space="preserve"> PANTAWID PAMILYA</t>
  </si>
  <si>
    <t>SUSTAINABLE LIVELIHOOD PROGRAM</t>
  </si>
  <si>
    <t>SUPPLEMENTARY FEEDING PROGRAM</t>
  </si>
  <si>
    <t>BOTTOM-UP BUDGETING</t>
  </si>
  <si>
    <t>CY 2015 PLAN</t>
  </si>
  <si>
    <t>January to March 2015 Accomp.</t>
  </si>
  <si>
    <t xml:space="preserve">Ptoposed CY 2016 </t>
  </si>
  <si>
    <t>Ben.</t>
  </si>
  <si>
    <t>Ben</t>
  </si>
  <si>
    <t>SOCIAL PENSION FOR INDIGENT SENIOR CITIZENS</t>
  </si>
  <si>
    <t>CY 2015</t>
  </si>
  <si>
    <t>Jan to March 2015</t>
  </si>
  <si>
    <t>Proposed CY 2016</t>
  </si>
  <si>
    <t>EXPANDED AICS</t>
  </si>
  <si>
    <t>REGULAR AICS</t>
  </si>
  <si>
    <t>CY 2015 BUDGET AND 1ST QUARTER ACCOMPLISHENT AND PROPOSED CY 2016 BUDGET</t>
  </si>
  <si>
    <t xml:space="preserve">Proposed CY 2016 </t>
  </si>
  <si>
    <t>JANUARY TO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</si>
</sst>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4" x14ac:knownFonts="1">
    <font>
      <sz val="11"/>
      <color theme="1"/>
      <name val="Calibri"/>
      <family val="2"/>
      <scheme val="minor"/>
    </font>
    <font>
      <sz val="11"/>
      <color theme="1"/>
      <name val="Calibri"/>
      <family val="2"/>
      <scheme val="minor"/>
    </font>
    <font>
      <sz val="11"/>
      <name val="Calibri"/>
      <family val="2"/>
      <scheme val="minor"/>
    </font>
    <font>
      <sz val="11"/>
      <color theme="3"/>
      <name val="Calibri"/>
      <family val="2"/>
      <scheme val="minor"/>
    </font>
    <font>
      <sz val="8"/>
      <name val="Calibri"/>
      <family val="2"/>
    </font>
    <font>
      <b/>
      <sz val="12"/>
      <color theme="1"/>
      <name val="Calibri"/>
      <family val="2"/>
      <scheme val="minor"/>
    </font>
    <font>
      <sz val="11"/>
      <color rgb="FFFA7D00"/>
      <name val="Calibri"/>
      <family val="2"/>
      <scheme val="minor"/>
    </font>
    <font>
      <b/>
      <sz val="11"/>
      <color theme="1"/>
      <name val="Calibri"/>
      <family val="2"/>
      <scheme val="minor"/>
    </font>
    <font>
      <sz val="10"/>
      <name val="Calibri"/>
      <family val="2"/>
      <scheme val="minor"/>
    </font>
    <font>
      <sz val="10"/>
      <color theme="1"/>
      <name val="Calibri"/>
      <family val="2"/>
      <scheme val="minor"/>
    </font>
    <font>
      <sz val="10"/>
      <color rgb="FF323231"/>
      <name val="Franklin Gothic Book"/>
      <family val="2"/>
    </font>
    <font>
      <sz val="9"/>
      <name val="Calibri"/>
      <family val="2"/>
    </font>
    <font>
      <sz val="11"/>
      <color indexed="12"/>
      <name val="Calibri"/>
      <family val="2"/>
      <scheme val="minor"/>
    </font>
    <font>
      <sz val="11"/>
      <color indexed="8"/>
      <name val="Calibri"/>
      <family val="2"/>
    </font>
    <font>
      <b/>
      <sz val="11"/>
      <name val="Calibri"/>
      <family val="2"/>
    </font>
    <font>
      <b/>
      <sz val="10"/>
      <color theme="1"/>
      <name val="Calibri"/>
      <family val="2"/>
      <scheme val="minor"/>
    </font>
    <font>
      <sz val="10"/>
      <color theme="1"/>
      <name val="Franklin Gothic Book"/>
      <family val="2"/>
    </font>
    <font>
      <sz val="12"/>
      <name val="Calibri"/>
      <family val="2"/>
      <scheme val="minor"/>
    </font>
    <font>
      <sz val="12"/>
      <color theme="1"/>
      <name val="Calibri"/>
      <family val="2"/>
      <scheme val="minor"/>
    </font>
    <font>
      <sz val="12"/>
      <color theme="3"/>
      <name val="Calibri"/>
      <family val="2"/>
      <scheme val="minor"/>
    </font>
    <font>
      <b/>
      <sz val="11"/>
      <color rgb="FFFA7D00"/>
      <name val="Calibri"/>
      <family val="2"/>
      <scheme val="minor"/>
    </font>
    <font>
      <b/>
      <sz val="16"/>
      <color theme="1"/>
      <name val="Calibri"/>
      <family val="2"/>
      <scheme val="minor"/>
    </font>
    <font>
      <b/>
      <sz val="12"/>
      <color rgb="FFFF0000"/>
      <name val="Calibri"/>
      <family val="2"/>
      <scheme val="minor"/>
    </font>
    <font>
      <b/>
      <sz val="14"/>
      <color theme="1"/>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6"/>
      <color theme="1"/>
      <name val="Calibri"/>
      <family val="2"/>
      <scheme val="minor"/>
    </font>
    <font>
      <sz val="18"/>
      <color theme="1"/>
      <name val="Calibri"/>
      <family val="2"/>
      <scheme val="minor"/>
    </font>
    <font>
      <b/>
      <sz val="20"/>
      <color rgb="FFFF0000"/>
      <name val="Calibri"/>
      <family val="2"/>
      <scheme val="minor"/>
    </font>
    <font>
      <sz val="14"/>
      <color theme="1"/>
      <name val="Calibri"/>
      <family val="2"/>
      <scheme val="minor"/>
    </font>
    <font>
      <sz val="8"/>
      <color theme="1"/>
      <name val="Calibri"/>
      <family val="2"/>
      <scheme val="minor"/>
    </font>
    <font>
      <b/>
      <sz val="11"/>
      <color rgb="FFFF0000"/>
      <name val="Calibri"/>
      <family val="2"/>
      <scheme val="minor"/>
    </font>
    <font>
      <b/>
      <sz val="12"/>
      <name val="Calibri"/>
      <family val="2"/>
      <scheme val="minor"/>
    </font>
    <font>
      <b/>
      <sz val="10"/>
      <name val="Calibri"/>
      <family val="2"/>
      <scheme val="minor"/>
    </font>
    <font>
      <sz val="10"/>
      <color theme="1"/>
      <name val="Calibri"/>
      <family val="2"/>
    </font>
    <font>
      <sz val="11"/>
      <color theme="1"/>
      <name val="Calibri"/>
      <family val="2"/>
    </font>
    <font>
      <sz val="12"/>
      <color theme="1"/>
      <name val="Calibri"/>
      <family val="2"/>
    </font>
    <font>
      <b/>
      <sz val="14"/>
      <name val="Calibri"/>
      <family val="2"/>
      <scheme val="minor"/>
    </font>
    <font>
      <b/>
      <sz val="18"/>
      <name val="Calibri"/>
      <family val="2"/>
      <scheme val="minor"/>
    </font>
    <font>
      <sz val="18"/>
      <name val="Calibri"/>
      <family val="2"/>
      <scheme val="minor"/>
    </font>
    <font>
      <b/>
      <sz val="11"/>
      <name val="Calibri"/>
      <family val="2"/>
      <scheme val="minor"/>
    </font>
    <font>
      <sz val="8"/>
      <name val="Calibri"/>
      <family val="2"/>
      <scheme val="minor"/>
    </font>
    <font>
      <b/>
      <sz val="16"/>
      <name val="Calibri"/>
      <family val="2"/>
      <scheme val="minor"/>
    </font>
    <font>
      <sz val="11"/>
      <color theme="1" tint="0.14999847407452621"/>
      <name val="Calibri"/>
      <family val="2"/>
      <scheme val="minor"/>
    </font>
    <font>
      <sz val="10"/>
      <name val="Arial"/>
      <family val="2"/>
    </font>
    <font>
      <sz val="10"/>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2060"/>
      <name val="Calibri"/>
      <family val="2"/>
      <scheme val="minor"/>
    </font>
    <font>
      <b/>
      <sz val="14"/>
      <color rgb="FF002060"/>
      <name val="Calibri"/>
      <family val="2"/>
      <scheme val="minor"/>
    </font>
    <font>
      <b/>
      <sz val="11"/>
      <color rgb="FF002060"/>
      <name val="Calibri"/>
      <family val="2"/>
      <scheme val="minor"/>
    </font>
    <font>
      <sz val="10"/>
      <color rgb="FF002060"/>
      <name val="Calibri"/>
      <family val="2"/>
      <scheme val="minor"/>
    </font>
  </fonts>
  <fills count="50">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bgColor indexed="64"/>
      </patternFill>
    </fill>
    <fill>
      <patternFill patternType="solid">
        <fgColor rgb="FF00B0F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2F2F2"/>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rgb="FFFF8001"/>
      </bottom>
      <diagonal/>
    </border>
    <border>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right style="thin">
        <color rgb="FF002060"/>
      </right>
      <top style="thin">
        <color rgb="FF002060"/>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rgb="FF002060"/>
      </right>
      <top style="thin">
        <color rgb="FF002060"/>
      </top>
      <bottom style="thin">
        <color indexed="64"/>
      </bottom>
      <diagonal/>
    </border>
    <border>
      <left/>
      <right style="thin">
        <color indexed="64"/>
      </right>
      <top style="thin">
        <color rgb="FF002060"/>
      </top>
      <bottom style="thin">
        <color rgb="FF002060"/>
      </bottom>
      <diagonal/>
    </border>
    <border>
      <left/>
      <right style="thin">
        <color indexed="64"/>
      </right>
      <top style="thin">
        <color rgb="FF002060"/>
      </top>
      <bottom/>
      <diagonal/>
    </border>
    <border>
      <left style="thin">
        <color indexed="64"/>
      </left>
      <right style="thin">
        <color indexed="64"/>
      </right>
      <top style="thin">
        <color rgb="FF002060"/>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style="thin">
        <color indexed="64"/>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auto="1"/>
      </right>
      <top style="thin">
        <color auto="1"/>
      </top>
      <bottom style="thin">
        <color auto="1"/>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2060"/>
      </left>
      <right style="thin">
        <color rgb="FF002060"/>
      </right>
      <top style="thin">
        <color rgb="FF002060"/>
      </top>
      <bottom style="thin">
        <color rgb="FF002060"/>
      </bottom>
      <diagonal/>
    </border>
  </borders>
  <cellStyleXfs count="46">
    <xf numFmtId="0" fontId="0" fillId="0" borderId="0"/>
    <xf numFmtId="43" fontId="1" fillId="0" borderId="0" applyFont="0" applyFill="0" applyBorder="0" applyAlignment="0" applyProtection="0"/>
    <xf numFmtId="0" fontId="6" fillId="0" borderId="5" applyNumberFormat="0" applyFill="0" applyAlignment="0" applyProtection="0"/>
    <xf numFmtId="0" fontId="13" fillId="0" borderId="0"/>
    <xf numFmtId="0" fontId="20" fillId="16" borderId="21" applyNumberFormat="0" applyAlignment="0" applyProtection="0"/>
    <xf numFmtId="43" fontId="1" fillId="0" borderId="0" applyFont="0" applyFill="0" applyBorder="0" applyAlignment="0" applyProtection="0"/>
    <xf numFmtId="0" fontId="47" fillId="0" borderId="0" applyNumberFormat="0" applyFill="0" applyBorder="0" applyAlignment="0" applyProtection="0"/>
    <xf numFmtId="0" fontId="48" fillId="0" borderId="28" applyNumberFormat="0" applyFill="0" applyAlignment="0" applyProtection="0"/>
    <xf numFmtId="0" fontId="49" fillId="0" borderId="29" applyNumberFormat="0" applyFill="0" applyAlignment="0" applyProtection="0"/>
    <xf numFmtId="0" fontId="50" fillId="0" borderId="30" applyNumberFormat="0" applyFill="0" applyAlignment="0" applyProtection="0"/>
    <xf numFmtId="0" fontId="50" fillId="0" borderId="0" applyNumberFormat="0" applyFill="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21" applyNumberFormat="0" applyAlignment="0" applyProtection="0"/>
    <xf numFmtId="0" fontId="55" fillId="16" borderId="31" applyNumberFormat="0" applyAlignment="0" applyProtection="0"/>
    <xf numFmtId="0" fontId="56" fillId="22" borderId="32" applyNumberFormat="0" applyAlignment="0" applyProtection="0"/>
    <xf numFmtId="0" fontId="57" fillId="0" borderId="0" applyNumberFormat="0" applyFill="0" applyBorder="0" applyAlignment="0" applyProtection="0"/>
    <xf numFmtId="0" fontId="1" fillId="23" borderId="33" applyNumberFormat="0" applyFont="0" applyAlignment="0" applyProtection="0"/>
    <xf numFmtId="0" fontId="58" fillId="0" borderId="0" applyNumberFormat="0" applyFill="0" applyBorder="0" applyAlignment="0" applyProtection="0"/>
    <xf numFmtId="0" fontId="7" fillId="0" borderId="34" applyNumberFormat="0" applyFill="0" applyAlignment="0" applyProtection="0"/>
    <xf numFmtId="0" fontId="5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59" fillId="47" borderId="0" applyNumberFormat="0" applyBorder="0" applyAlignment="0" applyProtection="0"/>
    <xf numFmtId="0" fontId="2" fillId="5" borderId="1">
      <alignment horizontal="center" vertical="center" wrapText="1"/>
    </xf>
  </cellStyleXfs>
  <cellXfs count="107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2"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0" fillId="2" borderId="0" xfId="0" applyFill="1" applyAlignment="1">
      <alignment horizontal="center" vertical="center" wrapText="1"/>
    </xf>
    <xf numFmtId="0" fontId="5" fillId="0" borderId="2" xfId="0" applyFont="1" applyBorder="1" applyAlignment="1">
      <alignment horizontal="center" vertical="center"/>
    </xf>
    <xf numFmtId="0" fontId="5" fillId="0" borderId="2" xfId="0" quotePrefix="1" applyFont="1" applyBorder="1" applyAlignment="1">
      <alignment horizontal="center" vertical="center"/>
    </xf>
    <xf numFmtId="0" fontId="5" fillId="0" borderId="0" xfId="0" applyFont="1" applyAlignment="1">
      <alignment vertical="center"/>
    </xf>
    <xf numFmtId="43" fontId="5" fillId="0" borderId="2" xfId="0" quotePrefix="1" applyNumberFormat="1" applyFont="1" applyBorder="1" applyAlignment="1">
      <alignment horizontal="center" vertical="center"/>
    </xf>
    <xf numFmtId="3" fontId="5" fillId="0" borderId="2" xfId="0" quotePrefix="1" applyNumberFormat="1" applyFont="1"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43" fontId="0" fillId="0" borderId="1" xfId="1" applyFont="1" applyBorder="1" applyAlignment="1">
      <alignment horizontal="center" vertical="center" wrapText="1"/>
    </xf>
    <xf numFmtId="0" fontId="0" fillId="0" borderId="1" xfId="0" applyBorder="1" applyAlignment="1">
      <alignment horizontal="left" vertical="center" wrapText="1"/>
    </xf>
    <xf numFmtId="0" fontId="0" fillId="4" borderId="3" xfId="0" applyFill="1" applyBorder="1" applyAlignment="1">
      <alignment horizontal="center" vertical="center"/>
    </xf>
    <xf numFmtId="0" fontId="0" fillId="0" borderId="1" xfId="0" applyBorder="1" applyAlignment="1">
      <alignment horizontal="center" wrapText="1"/>
    </xf>
    <xf numFmtId="0" fontId="0" fillId="0" borderId="1" xfId="0" applyBorder="1" applyAlignment="1">
      <alignment vertical="top" wrapText="1"/>
    </xf>
    <xf numFmtId="0" fontId="0" fillId="0" borderId="0" xfId="0" applyAlignment="1">
      <alignment vertical="top" wrapText="1"/>
    </xf>
    <xf numFmtId="17" fontId="4" fillId="0" borderId="1" xfId="1" quotePrefix="1" applyNumberFormat="1" applyFont="1" applyBorder="1" applyAlignment="1">
      <alignment horizontal="center" vertical="center" wrapText="1" readingOrder="1"/>
    </xf>
    <xf numFmtId="43" fontId="4" fillId="0" borderId="1" xfId="1" applyFont="1" applyBorder="1" applyAlignment="1">
      <alignment horizontal="center" vertical="center" wrapText="1" readingOrder="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top" wrapText="1"/>
    </xf>
    <xf numFmtId="0" fontId="0" fillId="0" borderId="0" xfId="0" applyAlignment="1">
      <alignment horizontal="center"/>
    </xf>
    <xf numFmtId="0" fontId="8" fillId="5" borderId="1" xfId="2" applyNumberFormat="1" applyFont="1" applyFill="1" applyBorder="1" applyAlignment="1">
      <alignment horizontal="center" vertical="center"/>
    </xf>
    <xf numFmtId="164" fontId="8" fillId="5" borderId="1" xfId="1" applyNumberFormat="1" applyFont="1" applyFill="1" applyBorder="1" applyAlignment="1">
      <alignment horizontal="center" vertical="center"/>
    </xf>
    <xf numFmtId="0" fontId="0" fillId="0" borderId="4" xfId="0" applyFill="1" applyBorder="1" applyAlignment="1">
      <alignment horizontal="center" vertical="top" wrapText="1"/>
    </xf>
    <xf numFmtId="0" fontId="0" fillId="0" borderId="2" xfId="0" applyFill="1" applyBorder="1" applyAlignment="1">
      <alignment horizontal="center" vertical="top" wrapText="1"/>
    </xf>
    <xf numFmtId="17" fontId="0" fillId="0" borderId="3" xfId="0" quotePrefix="1" applyNumberFormat="1" applyBorder="1" applyAlignment="1">
      <alignment vertical="center" wrapText="1"/>
    </xf>
    <xf numFmtId="17" fontId="0" fillId="0" borderId="4" xfId="0" quotePrefix="1" applyNumberFormat="1" applyBorder="1" applyAlignment="1">
      <alignment vertical="center" wrapText="1"/>
    </xf>
    <xf numFmtId="17" fontId="0" fillId="0" borderId="2" xfId="0" quotePrefix="1" applyNumberFormat="1" applyBorder="1" applyAlignment="1">
      <alignment vertical="center" wrapText="1"/>
    </xf>
    <xf numFmtId="43" fontId="8" fillId="5" borderId="1" xfId="1" applyFont="1" applyFill="1" applyBorder="1" applyAlignment="1">
      <alignment horizontal="center" vertical="center"/>
    </xf>
    <xf numFmtId="43" fontId="2" fillId="0" borderId="7" xfId="1" applyFont="1" applyFill="1" applyBorder="1" applyAlignment="1">
      <alignment horizontal="center"/>
    </xf>
    <xf numFmtId="43" fontId="2" fillId="0" borderId="7" xfId="1" applyFont="1" applyBorder="1" applyAlignment="1">
      <alignment horizontal="center"/>
    </xf>
    <xf numFmtId="43" fontId="2" fillId="0" borderId="8" xfId="1" applyFont="1" applyBorder="1" applyAlignment="1">
      <alignment horizontal="center"/>
    </xf>
    <xf numFmtId="43" fontId="2" fillId="0" borderId="6" xfId="1" applyFont="1" applyBorder="1"/>
    <xf numFmtId="3" fontId="0" fillId="2" borderId="1" xfId="0" applyNumberFormat="1" applyFont="1" applyFill="1" applyBorder="1" applyAlignment="1">
      <alignment horizontal="center" vertical="center" wrapText="1"/>
    </xf>
    <xf numFmtId="43" fontId="0" fillId="2"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12" fillId="0" borderId="1" xfId="0" applyFont="1" applyFill="1" applyBorder="1" applyAlignment="1">
      <alignment horizontal="center" wrapText="1"/>
    </xf>
    <xf numFmtId="0" fontId="0" fillId="2" borderId="2" xfId="0" applyFill="1" applyBorder="1" applyAlignment="1">
      <alignment horizontal="center" vertical="center" wrapText="1"/>
    </xf>
    <xf numFmtId="0" fontId="5" fillId="0" borderId="0" xfId="0" applyFont="1"/>
    <xf numFmtId="0" fontId="7" fillId="0" borderId="0" xfId="0" applyFont="1"/>
    <xf numFmtId="0" fontId="0" fillId="0" borderId="0" xfId="0" applyBorder="1" applyAlignment="1">
      <alignment wrapText="1"/>
    </xf>
    <xf numFmtId="0" fontId="9" fillId="0" borderId="0" xfId="0" applyFont="1" applyFill="1" applyBorder="1" applyAlignment="1">
      <alignment horizontal="center" vertical="top"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43" fontId="0" fillId="0" borderId="1" xfId="1"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horizontal="center" wrapText="1"/>
    </xf>
    <xf numFmtId="43" fontId="0" fillId="0" borderId="0" xfId="1" applyFont="1" applyBorder="1" applyAlignment="1">
      <alignment horizontal="center" vertical="center" wrapText="1"/>
    </xf>
    <xf numFmtId="43" fontId="2" fillId="0" borderId="0" xfId="1" applyFont="1" applyBorder="1" applyAlignment="1">
      <alignment horizontal="center"/>
    </xf>
    <xf numFmtId="0" fontId="3" fillId="3" borderId="2" xfId="0" applyFont="1" applyFill="1" applyBorder="1" applyAlignment="1">
      <alignment horizontal="center" vertical="center" wrapText="1"/>
    </xf>
    <xf numFmtId="0" fontId="2" fillId="0" borderId="0" xfId="0" applyFont="1" applyFill="1" applyBorder="1" applyAlignment="1">
      <alignment horizontal="center" wrapText="1"/>
    </xf>
    <xf numFmtId="43" fontId="2" fillId="0" borderId="12" xfId="1" applyFont="1" applyBorder="1" applyAlignment="1">
      <alignment horizont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3" fontId="7" fillId="2" borderId="1"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 xfId="0" applyFont="1" applyFill="1" applyBorder="1" applyAlignment="1">
      <alignment horizontal="center" vertical="center" wrapText="1"/>
    </xf>
    <xf numFmtId="43" fontId="7" fillId="2" borderId="2" xfId="0" applyNumberFormat="1" applyFont="1" applyFill="1" applyBorder="1" applyAlignment="1">
      <alignment horizontal="center" vertical="center" wrapText="1"/>
    </xf>
    <xf numFmtId="43" fontId="7" fillId="2" borderId="2" xfId="1" applyFont="1" applyFill="1" applyBorder="1" applyAlignment="1">
      <alignment horizontal="center" vertical="center" wrapText="1"/>
    </xf>
    <xf numFmtId="0" fontId="7" fillId="2" borderId="2" xfId="0" quotePrefix="1" applyFont="1" applyFill="1" applyBorder="1" applyAlignment="1">
      <alignment horizontal="center" vertical="center"/>
    </xf>
    <xf numFmtId="43" fontId="7" fillId="2" borderId="2" xfId="0" quotePrefix="1"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4" borderId="3" xfId="0" applyFont="1" applyFill="1" applyBorder="1" applyAlignment="1">
      <alignment horizontal="center" vertical="center"/>
    </xf>
    <xf numFmtId="0" fontId="9" fillId="0" borderId="11" xfId="0" applyFont="1" applyFill="1" applyBorder="1" applyAlignment="1">
      <alignment horizontal="center" vertical="top" wrapText="1"/>
    </xf>
    <xf numFmtId="0" fontId="9" fillId="0" borderId="4" xfId="0" applyFont="1" applyFill="1" applyBorder="1" applyAlignment="1">
      <alignment horizontal="center" vertical="top" wrapText="1"/>
    </xf>
    <xf numFmtId="0" fontId="0" fillId="0" borderId="0" xfId="0" applyAlignment="1">
      <alignment horizontal="center"/>
    </xf>
    <xf numFmtId="0" fontId="0" fillId="0" borderId="4" xfId="0" applyBorder="1" applyAlignment="1">
      <alignment horizontal="center" vertical="top" wrapText="1"/>
    </xf>
    <xf numFmtId="43" fontId="7" fillId="2" borderId="1" xfId="1" applyFont="1" applyFill="1" applyBorder="1" applyAlignment="1">
      <alignment horizontal="center" vertical="center" wrapText="1"/>
    </xf>
    <xf numFmtId="0" fontId="8" fillId="5" borderId="2" xfId="2" applyNumberFormat="1" applyFont="1" applyFill="1" applyBorder="1" applyAlignment="1">
      <alignment horizontal="center" vertical="center"/>
    </xf>
    <xf numFmtId="164" fontId="8" fillId="5" borderId="2" xfId="1" applyNumberFormat="1" applyFont="1" applyFill="1" applyBorder="1" applyAlignment="1">
      <alignment horizontal="center" vertical="center"/>
    </xf>
    <xf numFmtId="43" fontId="8" fillId="5" borderId="2" xfId="1" applyFont="1" applyFill="1" applyBorder="1" applyAlignment="1">
      <alignment horizontal="center" vertical="center"/>
    </xf>
    <xf numFmtId="43" fontId="0" fillId="0" borderId="2" xfId="1" applyFont="1" applyBorder="1" applyAlignment="1">
      <alignment horizontal="center" vertical="center" wrapText="1"/>
    </xf>
    <xf numFmtId="0" fontId="2" fillId="0" borderId="1" xfId="3" applyFont="1" applyFill="1" applyBorder="1" applyAlignment="1">
      <alignment horizontal="center" wrapText="1"/>
    </xf>
    <xf numFmtId="43" fontId="7" fillId="2" borderId="2" xfId="1" quotePrefix="1" applyFont="1" applyFill="1" applyBorder="1" applyAlignment="1">
      <alignment horizontal="center" vertical="center"/>
    </xf>
    <xf numFmtId="0" fontId="9" fillId="0" borderId="4" xfId="0" applyFont="1" applyFill="1" applyBorder="1" applyAlignment="1">
      <alignment vertical="top" wrapText="1"/>
    </xf>
    <xf numFmtId="0" fontId="2" fillId="0" borderId="3" xfId="3" applyFont="1" applyFill="1" applyBorder="1" applyAlignment="1">
      <alignment horizontal="center" wrapText="1"/>
    </xf>
    <xf numFmtId="0" fontId="11" fillId="2" borderId="1" xfId="0" applyNumberFormat="1" applyFont="1" applyFill="1" applyBorder="1" applyAlignment="1">
      <alignment horizontal="center" vertical="center" wrapText="1"/>
    </xf>
    <xf numFmtId="43" fontId="11" fillId="2" borderId="1" xfId="1" applyFont="1" applyFill="1" applyBorder="1" applyAlignment="1">
      <alignment horizontal="center" vertical="center" wrapText="1"/>
    </xf>
    <xf numFmtId="0" fontId="0" fillId="2" borderId="1" xfId="0" applyFill="1" applyBorder="1" applyAlignment="1">
      <alignment wrapText="1"/>
    </xf>
    <xf numFmtId="43" fontId="0" fillId="0" borderId="0" xfId="1" applyFont="1" applyAlignment="1">
      <alignment horizontal="center"/>
    </xf>
    <xf numFmtId="43" fontId="7" fillId="0" borderId="0" xfId="1" applyFont="1"/>
    <xf numFmtId="43" fontId="5" fillId="0" borderId="2" xfId="1" quotePrefix="1" applyFont="1" applyBorder="1" applyAlignment="1">
      <alignment horizontal="center" vertical="center"/>
    </xf>
    <xf numFmtId="43" fontId="3" fillId="3" borderId="1" xfId="1" applyFont="1" applyFill="1" applyBorder="1" applyAlignment="1">
      <alignment horizontal="center" vertical="center" wrapText="1"/>
    </xf>
    <xf numFmtId="43" fontId="0" fillId="2" borderId="1" xfId="1" applyFont="1" applyFill="1" applyBorder="1" applyAlignment="1">
      <alignment horizontal="center" vertical="center" wrapText="1"/>
    </xf>
    <xf numFmtId="43" fontId="7" fillId="2" borderId="6" xfId="1" applyFont="1" applyFill="1" applyBorder="1" applyAlignment="1">
      <alignment horizontal="center" vertical="center" wrapText="1"/>
    </xf>
    <xf numFmtId="43" fontId="3" fillId="3" borderId="2" xfId="1" applyFont="1" applyFill="1" applyBorder="1" applyAlignment="1">
      <alignment horizontal="center" vertical="center" wrapText="1"/>
    </xf>
    <xf numFmtId="43" fontId="0" fillId="0" borderId="0" xfId="1" applyFont="1"/>
    <xf numFmtId="0" fontId="14" fillId="2" borderId="1" xfId="0" applyNumberFormat="1" applyFont="1" applyFill="1" applyBorder="1" applyAlignment="1">
      <alignment horizontal="center" vertical="center" wrapText="1"/>
    </xf>
    <xf numFmtId="43" fontId="14" fillId="2" borderId="1" xfId="1" applyFont="1" applyFill="1" applyBorder="1" applyAlignment="1">
      <alignment horizontal="center" vertical="center" wrapText="1"/>
    </xf>
    <xf numFmtId="43" fontId="2" fillId="0" borderId="1" xfId="1" applyFont="1" applyBorder="1" applyAlignment="1">
      <alignment horizontal="center"/>
    </xf>
    <xf numFmtId="0" fontId="9" fillId="0" borderId="1" xfId="0" applyFont="1" applyBorder="1" applyAlignment="1">
      <alignment horizontal="center"/>
    </xf>
    <xf numFmtId="0" fontId="9" fillId="0" borderId="11" xfId="0" applyFont="1" applyFill="1"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vertical="top" wrapText="1"/>
    </xf>
    <xf numFmtId="0" fontId="9"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10" xfId="0" applyFont="1" applyFill="1" applyBorder="1" applyAlignment="1">
      <alignment horizontal="center" vertical="top" wrapText="1"/>
    </xf>
    <xf numFmtId="0" fontId="2" fillId="0" borderId="2" xfId="3" applyFont="1" applyFill="1" applyBorder="1" applyAlignment="1">
      <alignment horizont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9" fillId="0" borderId="11" xfId="0" applyFont="1" applyFill="1" applyBorder="1" applyAlignment="1">
      <alignment horizontal="center" vertical="top" wrapText="1"/>
    </xf>
    <xf numFmtId="0" fontId="0" fillId="0" borderId="4" xfId="0" applyBorder="1" applyAlignment="1">
      <alignment horizontal="center" vertical="top" wrapText="1"/>
    </xf>
    <xf numFmtId="0" fontId="9" fillId="0" borderId="4" xfId="0" applyFont="1" applyFill="1" applyBorder="1" applyAlignment="1">
      <alignment horizontal="center" vertical="top" wrapText="1"/>
    </xf>
    <xf numFmtId="0" fontId="0" fillId="0" borderId="3" xfId="0" applyBorder="1" applyAlignment="1">
      <alignment horizontal="center" vertical="center" wrapText="1"/>
    </xf>
    <xf numFmtId="0" fontId="0" fillId="0" borderId="0" xfId="0" applyBorder="1" applyAlignment="1">
      <alignment horizontal="center" vertical="top" wrapText="1"/>
    </xf>
    <xf numFmtId="0" fontId="2" fillId="0" borderId="0" xfId="3" applyFont="1" applyFill="1" applyBorder="1" applyAlignment="1">
      <alignment horizontal="center" wrapText="1"/>
    </xf>
    <xf numFmtId="0" fontId="8" fillId="5" borderId="0" xfId="2" applyNumberFormat="1" applyFont="1" applyFill="1" applyBorder="1" applyAlignment="1">
      <alignment horizontal="center" vertical="center"/>
    </xf>
    <xf numFmtId="43" fontId="8" fillId="5" borderId="0" xfId="1" applyFont="1" applyFill="1" applyBorder="1" applyAlignment="1">
      <alignment horizontal="center" vertical="center"/>
    </xf>
    <xf numFmtId="3" fontId="7" fillId="2" borderId="2" xfId="0" applyNumberFormat="1" applyFont="1" applyFill="1" applyBorder="1" applyAlignment="1">
      <alignment horizontal="center" vertical="center" wrapText="1"/>
    </xf>
    <xf numFmtId="0" fontId="7" fillId="8" borderId="2" xfId="0" quotePrefix="1" applyFont="1" applyFill="1" applyBorder="1" applyAlignment="1">
      <alignment horizontal="center" vertical="center"/>
    </xf>
    <xf numFmtId="43" fontId="5" fillId="11" borderId="2" xfId="0" quotePrefix="1" applyNumberFormat="1"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12" borderId="2" xfId="0" quotePrefix="1" applyFont="1" applyFill="1" applyBorder="1" applyAlignment="1">
      <alignment horizontal="center" vertical="center"/>
    </xf>
    <xf numFmtId="43" fontId="7" fillId="12" borderId="2" xfId="1" quotePrefix="1" applyFont="1" applyFill="1" applyBorder="1" applyAlignment="1">
      <alignment horizontal="center" vertical="center"/>
    </xf>
    <xf numFmtId="0" fontId="7" fillId="12" borderId="1" xfId="0" applyFont="1" applyFill="1" applyBorder="1" applyAlignment="1">
      <alignment horizontal="center" vertical="center" wrapText="1"/>
    </xf>
    <xf numFmtId="43" fontId="7" fillId="12" borderId="1" xfId="1" applyFont="1" applyFill="1" applyBorder="1" applyAlignment="1">
      <alignment horizontal="center" vertical="center" wrapText="1"/>
    </xf>
    <xf numFmtId="0" fontId="7" fillId="12" borderId="2" xfId="0" applyFont="1" applyFill="1" applyBorder="1" applyAlignment="1">
      <alignment horizontal="center" vertical="center" wrapText="1"/>
    </xf>
    <xf numFmtId="43" fontId="7" fillId="12" borderId="2" xfId="1" applyFont="1" applyFill="1" applyBorder="1" applyAlignment="1">
      <alignment horizontal="center" vertical="center" wrapText="1"/>
    </xf>
    <xf numFmtId="3" fontId="7" fillId="12" borderId="1" xfId="0" applyNumberFormat="1" applyFont="1" applyFill="1" applyBorder="1" applyAlignment="1">
      <alignment horizontal="center" vertical="center" wrapText="1"/>
    </xf>
    <xf numFmtId="43" fontId="5" fillId="11" borderId="2" xfId="1" quotePrefix="1" applyFont="1" applyFill="1" applyBorder="1" applyAlignment="1">
      <alignment horizontal="center" vertical="center"/>
    </xf>
    <xf numFmtId="0" fontId="7" fillId="13" borderId="2" xfId="0" quotePrefix="1" applyFont="1" applyFill="1" applyBorder="1" applyAlignment="1">
      <alignment horizontal="center" vertical="center"/>
    </xf>
    <xf numFmtId="43" fontId="7" fillId="13" borderId="2" xfId="1" quotePrefix="1" applyFont="1" applyFill="1" applyBorder="1" applyAlignment="1">
      <alignment horizontal="center" vertical="center"/>
    </xf>
    <xf numFmtId="0" fontId="7" fillId="13" borderId="1" xfId="0" applyFont="1" applyFill="1" applyBorder="1" applyAlignment="1">
      <alignment horizontal="center" vertical="center" wrapText="1"/>
    </xf>
    <xf numFmtId="43" fontId="7" fillId="13" borderId="1" xfId="1" applyFont="1" applyFill="1" applyBorder="1" applyAlignment="1">
      <alignment horizontal="center" vertical="center" wrapText="1"/>
    </xf>
    <xf numFmtId="0" fontId="7" fillId="13" borderId="2" xfId="0" applyFont="1" applyFill="1" applyBorder="1" applyAlignment="1">
      <alignment horizontal="center" vertical="center" wrapText="1"/>
    </xf>
    <xf numFmtId="43" fontId="7" fillId="13" borderId="2" xfId="1" applyFont="1" applyFill="1" applyBorder="1" applyAlignment="1">
      <alignment horizontal="center" vertical="center" wrapText="1"/>
    </xf>
    <xf numFmtId="3" fontId="7" fillId="13" borderId="1" xfId="0" applyNumberFormat="1" applyFont="1" applyFill="1" applyBorder="1" applyAlignment="1">
      <alignment horizontal="center" vertical="center" wrapText="1"/>
    </xf>
    <xf numFmtId="43" fontId="5" fillId="6" borderId="2" xfId="1" quotePrefix="1" applyFont="1" applyFill="1" applyBorder="1" applyAlignment="1">
      <alignment horizontal="center" vertical="center"/>
    </xf>
    <xf numFmtId="0" fontId="7" fillId="7" borderId="2" xfId="0" quotePrefix="1" applyFont="1" applyFill="1" applyBorder="1" applyAlignment="1">
      <alignment horizontal="center" vertical="center" wrapText="1"/>
    </xf>
    <xf numFmtId="3" fontId="7" fillId="7" borderId="1" xfId="0" applyNumberFormat="1" applyFont="1" applyFill="1" applyBorder="1" applyAlignment="1">
      <alignment horizontal="center" vertical="center" wrapText="1"/>
    </xf>
    <xf numFmtId="43" fontId="7" fillId="7" borderId="1" xfId="1" applyFont="1" applyFill="1" applyBorder="1" applyAlignment="1">
      <alignment horizontal="center" vertical="center" wrapText="1"/>
    </xf>
    <xf numFmtId="0" fontId="2" fillId="7" borderId="2" xfId="3" applyFont="1" applyFill="1" applyBorder="1" applyAlignment="1">
      <alignment horizontal="center" wrapText="1"/>
    </xf>
    <xf numFmtId="0" fontId="2" fillId="7" borderId="2" xfId="0" applyFont="1" applyFill="1" applyBorder="1" applyAlignment="1">
      <alignment horizontal="center" wrapText="1"/>
    </xf>
    <xf numFmtId="43" fontId="0" fillId="0" borderId="3" xfId="1" applyFont="1" applyBorder="1" applyAlignment="1">
      <alignment horizontal="center" vertical="center" wrapText="1"/>
    </xf>
    <xf numFmtId="0" fontId="0" fillId="2" borderId="4" xfId="0" applyFill="1" applyBorder="1" applyAlignment="1">
      <alignment horizontal="center" vertical="center" wrapText="1"/>
    </xf>
    <xf numFmtId="3" fontId="7" fillId="13" borderId="2" xfId="0" applyNumberFormat="1" applyFont="1" applyFill="1" applyBorder="1" applyAlignment="1">
      <alignment horizontal="center" vertical="center" wrapText="1"/>
    </xf>
    <xf numFmtId="0" fontId="7" fillId="13" borderId="1" xfId="0" quotePrefix="1" applyFont="1" applyFill="1" applyBorder="1" applyAlignment="1">
      <alignment horizontal="center" vertical="center"/>
    </xf>
    <xf numFmtId="43" fontId="2" fillId="0" borderId="13" xfId="1" applyFont="1" applyFill="1" applyBorder="1" applyAlignment="1">
      <alignment horizontal="center"/>
    </xf>
    <xf numFmtId="43" fontId="2" fillId="0" borderId="13" xfId="1" applyFont="1" applyBorder="1" applyAlignment="1">
      <alignment horizontal="center"/>
    </xf>
    <xf numFmtId="43" fontId="2" fillId="0" borderId="14" xfId="1" applyFont="1" applyBorder="1" applyAlignment="1">
      <alignment horizontal="center"/>
    </xf>
    <xf numFmtId="43" fontId="2" fillId="7" borderId="10" xfId="1" applyFont="1" applyFill="1" applyBorder="1" applyAlignment="1">
      <alignment horizontal="center"/>
    </xf>
    <xf numFmtId="0" fontId="0" fillId="0" borderId="2" xfId="0" applyBorder="1" applyAlignment="1">
      <alignment horizontal="center" vertical="top" wrapText="1"/>
    </xf>
    <xf numFmtId="0" fontId="7" fillId="9" borderId="2" xfId="0" quotePrefix="1" applyFont="1" applyFill="1" applyBorder="1" applyAlignment="1">
      <alignment horizontal="center" vertical="center"/>
    </xf>
    <xf numFmtId="0" fontId="7" fillId="14" borderId="2" xfId="0" quotePrefix="1" applyFont="1" applyFill="1" applyBorder="1" applyAlignment="1">
      <alignment horizontal="center" vertical="center"/>
    </xf>
    <xf numFmtId="43" fontId="7" fillId="14" borderId="2" xfId="1" quotePrefix="1" applyFont="1" applyFill="1" applyBorder="1" applyAlignment="1">
      <alignment horizontal="center" vertical="center"/>
    </xf>
    <xf numFmtId="0" fontId="7" fillId="14" borderId="1" xfId="0" applyFont="1" applyFill="1" applyBorder="1" applyAlignment="1">
      <alignment horizontal="center" vertical="center" wrapText="1"/>
    </xf>
    <xf numFmtId="43" fontId="7" fillId="14" borderId="1" xfId="1" applyFont="1" applyFill="1" applyBorder="1" applyAlignment="1">
      <alignment horizontal="center" vertical="center" wrapText="1"/>
    </xf>
    <xf numFmtId="0" fontId="7" fillId="14" borderId="2" xfId="0" applyFont="1" applyFill="1" applyBorder="1" applyAlignment="1">
      <alignment horizontal="center" vertical="center" wrapText="1"/>
    </xf>
    <xf numFmtId="43" fontId="7" fillId="14" borderId="2" xfId="1" applyFont="1" applyFill="1" applyBorder="1" applyAlignment="1">
      <alignment horizontal="center" vertical="center" wrapText="1"/>
    </xf>
    <xf numFmtId="3" fontId="7" fillId="14" borderId="1" xfId="0" applyNumberFormat="1" applyFont="1" applyFill="1" applyBorder="1" applyAlignment="1">
      <alignment horizontal="center" vertical="center" wrapText="1"/>
    </xf>
    <xf numFmtId="3" fontId="7" fillId="14" borderId="2" xfId="0" quotePrefix="1" applyNumberFormat="1" applyFont="1" applyFill="1" applyBorder="1" applyAlignment="1">
      <alignment horizontal="center" vertical="center"/>
    </xf>
    <xf numFmtId="43" fontId="2" fillId="0" borderId="15" xfId="1" applyFont="1" applyBorder="1" applyAlignment="1">
      <alignment horizontal="center"/>
    </xf>
    <xf numFmtId="3" fontId="7" fillId="14" borderId="2"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43" fontId="7" fillId="9" borderId="6" xfId="1" applyFont="1" applyFill="1" applyBorder="1" applyAlignment="1">
      <alignment horizontal="center" vertical="center"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2" xfId="0" applyFill="1" applyBorder="1" applyAlignment="1">
      <alignment vertical="top" wrapText="1"/>
    </xf>
    <xf numFmtId="0" fontId="0" fillId="0" borderId="0" xfId="0" applyFill="1" applyBorder="1" applyAlignment="1">
      <alignment vertical="top" wrapText="1"/>
    </xf>
    <xf numFmtId="0" fontId="10" fillId="0" borderId="4" xfId="0" applyFont="1" applyFill="1" applyBorder="1" applyAlignment="1">
      <alignment vertical="top" wrapText="1" readingOrder="1"/>
    </xf>
    <xf numFmtId="0" fontId="10" fillId="0" borderId="2" xfId="0" applyFont="1" applyFill="1" applyBorder="1" applyAlignment="1">
      <alignment vertical="top" wrapText="1" readingOrder="1"/>
    </xf>
    <xf numFmtId="43" fontId="3" fillId="3" borderId="3" xfId="1" applyFont="1" applyFill="1" applyBorder="1" applyAlignment="1">
      <alignment horizontal="center" vertical="center" wrapText="1"/>
    </xf>
    <xf numFmtId="43" fontId="3" fillId="0" borderId="0" xfId="1" applyFont="1" applyFill="1" applyBorder="1" applyAlignment="1">
      <alignment horizontal="center" vertical="center" wrapText="1"/>
    </xf>
    <xf numFmtId="0" fontId="0" fillId="0" borderId="0" xfId="0" applyFill="1" applyBorder="1" applyAlignment="1">
      <alignment horizontal="center" vertical="top" wrapText="1"/>
    </xf>
    <xf numFmtId="0" fontId="8" fillId="0" borderId="0" xfId="2" applyNumberFormat="1" applyFont="1" applyFill="1" applyBorder="1" applyAlignment="1">
      <alignment horizontal="center" vertical="center"/>
    </xf>
    <xf numFmtId="43" fontId="8" fillId="0" borderId="0" xfId="1" applyFont="1" applyFill="1" applyBorder="1" applyAlignment="1">
      <alignment horizontal="center" vertical="center"/>
    </xf>
    <xf numFmtId="43" fontId="0" fillId="0" borderId="0" xfId="1" applyFont="1" applyFill="1" applyBorder="1" applyAlignment="1">
      <alignment horizontal="center" vertical="center"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43" fontId="5" fillId="10" borderId="2" xfId="1" quotePrefix="1" applyFont="1" applyFill="1" applyBorder="1" applyAlignment="1">
      <alignment horizontal="center" vertical="center"/>
    </xf>
    <xf numFmtId="0" fontId="3" fillId="5" borderId="0" xfId="0" applyFont="1" applyFill="1" applyBorder="1" applyAlignment="1">
      <alignment horizontal="center" vertical="center" wrapText="1"/>
    </xf>
    <xf numFmtId="43" fontId="3" fillId="5" borderId="0" xfId="1" applyFont="1" applyFill="1" applyBorder="1" applyAlignment="1">
      <alignment horizontal="center" vertical="center" wrapText="1"/>
    </xf>
    <xf numFmtId="0" fontId="7" fillId="14" borderId="1" xfId="0" quotePrefix="1" applyFont="1" applyFill="1" applyBorder="1" applyAlignment="1">
      <alignment horizontal="center" vertical="center"/>
    </xf>
    <xf numFmtId="0" fontId="0" fillId="2" borderId="3" xfId="0" applyFill="1" applyBorder="1" applyAlignment="1">
      <alignment horizontal="center" vertical="center" wrapText="1"/>
    </xf>
    <xf numFmtId="0" fontId="0" fillId="0" borderId="4" xfId="0" applyBorder="1" applyAlignment="1">
      <alignment horizontal="center" vertical="top" wrapText="1"/>
    </xf>
    <xf numFmtId="0" fontId="0" fillId="0" borderId="0" xfId="0" applyAlignment="1">
      <alignment horizontal="center"/>
    </xf>
    <xf numFmtId="0" fontId="0" fillId="4" borderId="3" xfId="0" applyFill="1" applyBorder="1" applyAlignment="1">
      <alignment horizontal="center" vertical="center"/>
    </xf>
    <xf numFmtId="0" fontId="7" fillId="2" borderId="2" xfId="0" applyFont="1" applyFill="1" applyBorder="1" applyAlignment="1">
      <alignment horizontal="center" vertical="center" wrapText="1"/>
    </xf>
    <xf numFmtId="0" fontId="9" fillId="0" borderId="2" xfId="0" applyFont="1" applyFill="1" applyBorder="1" applyAlignment="1">
      <alignment vertical="top" wrapText="1"/>
    </xf>
    <xf numFmtId="0" fontId="0" fillId="0" borderId="4" xfId="0" applyBorder="1" applyAlignment="1">
      <alignment horizontal="left" vertical="center" wrapText="1"/>
    </xf>
    <xf numFmtId="0" fontId="9" fillId="0" borderId="0" xfId="0" applyFont="1" applyFill="1" applyBorder="1" applyAlignment="1">
      <alignment vertical="top" wrapText="1"/>
    </xf>
    <xf numFmtId="0" fontId="10" fillId="0" borderId="0" xfId="0" applyFont="1" applyFill="1" applyBorder="1" applyAlignment="1">
      <alignment vertical="top" wrapText="1" readingOrder="1"/>
    </xf>
    <xf numFmtId="0" fontId="0" fillId="2" borderId="0" xfId="0" applyFill="1" applyBorder="1" applyAlignment="1">
      <alignment horizontal="center" vertical="center" wrapText="1"/>
    </xf>
    <xf numFmtId="0" fontId="2" fillId="0" borderId="1" xfId="3" applyFont="1" applyFill="1" applyBorder="1" applyAlignment="1">
      <alignment horizontal="center" vertical="top" wrapText="1"/>
    </xf>
    <xf numFmtId="0" fontId="0" fillId="0" borderId="1" xfId="0" applyBorder="1" applyAlignment="1">
      <alignment horizontal="center" vertical="top" wrapText="1"/>
    </xf>
    <xf numFmtId="43" fontId="0" fillId="0" borderId="1" xfId="1" applyFont="1" applyBorder="1" applyAlignment="1">
      <alignment horizontal="center" vertical="top"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0" borderId="4" xfId="0" applyBorder="1" applyAlignment="1">
      <alignment horizontal="center" vertical="top" wrapText="1"/>
    </xf>
    <xf numFmtId="0" fontId="9" fillId="0" borderId="11" xfId="0" applyFont="1" applyFill="1" applyBorder="1" applyAlignment="1">
      <alignment horizontal="center" vertical="top" wrapText="1"/>
    </xf>
    <xf numFmtId="0" fontId="0" fillId="0" borderId="4" xfId="0" applyFill="1" applyBorder="1" applyAlignment="1">
      <alignment horizontal="center" vertical="center" wrapText="1"/>
    </xf>
    <xf numFmtId="0" fontId="0" fillId="0" borderId="0" xfId="0" applyAlignment="1">
      <alignment horizont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top" wrapText="1"/>
    </xf>
    <xf numFmtId="0" fontId="9"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xf>
    <xf numFmtId="0" fontId="0" fillId="4" borderId="3" xfId="0" applyFill="1" applyBorder="1" applyAlignment="1">
      <alignment horizontal="center" vertical="center"/>
    </xf>
    <xf numFmtId="0" fontId="0" fillId="2" borderId="4" xfId="0" applyFill="1" applyBorder="1" applyAlignment="1">
      <alignment horizontal="center" vertical="center" wrapText="1"/>
    </xf>
    <xf numFmtId="0" fontId="0" fillId="4" borderId="1" xfId="0" applyFill="1" applyBorder="1" applyAlignment="1">
      <alignment horizontal="center" vertical="center"/>
    </xf>
    <xf numFmtId="0" fontId="0" fillId="0" borderId="3" xfId="0" applyBorder="1" applyAlignment="1">
      <alignment horizontal="center" vertical="center" wrapText="1"/>
    </xf>
    <xf numFmtId="0" fontId="7" fillId="2" borderId="2" xfId="0" applyFont="1" applyFill="1" applyBorder="1" applyAlignment="1">
      <alignment horizontal="center" vertical="center" wrapText="1"/>
    </xf>
    <xf numFmtId="0" fontId="0" fillId="0" borderId="2" xfId="0" applyBorder="1" applyAlignment="1">
      <alignment horizontal="center" vertical="top" wrapText="1"/>
    </xf>
    <xf numFmtId="43" fontId="7" fillId="2" borderId="11" xfId="1" applyFont="1" applyFill="1" applyBorder="1" applyAlignment="1">
      <alignment horizontal="center" vertical="center" wrapText="1"/>
    </xf>
    <xf numFmtId="0" fontId="7" fillId="2" borderId="1" xfId="0" quotePrefix="1" applyFont="1" applyFill="1" applyBorder="1" applyAlignment="1">
      <alignment horizontal="center" vertical="center"/>
    </xf>
    <xf numFmtId="0" fontId="8" fillId="5" borderId="3" xfId="2" applyNumberFormat="1" applyFont="1" applyFill="1" applyBorder="1" applyAlignment="1">
      <alignment horizontal="center" vertical="center"/>
    </xf>
    <xf numFmtId="43" fontId="8" fillId="5" borderId="3" xfId="1" applyFont="1" applyFill="1" applyBorder="1" applyAlignment="1">
      <alignment horizontal="center" vertical="center"/>
    </xf>
    <xf numFmtId="0" fontId="3" fillId="0" borderId="16" xfId="0" applyFont="1" applyFill="1" applyBorder="1" applyAlignment="1">
      <alignment horizontal="center" vertical="center" wrapText="1"/>
    </xf>
    <xf numFmtId="43" fontId="3" fillId="0" borderId="16" xfId="1" applyFont="1" applyFill="1" applyBorder="1" applyAlignment="1">
      <alignment horizontal="center" vertical="center" wrapText="1"/>
    </xf>
    <xf numFmtId="0" fontId="0" fillId="0" borderId="2" xfId="0" applyBorder="1" applyAlignment="1">
      <alignment vertical="top" wrapText="1"/>
    </xf>
    <xf numFmtId="0" fontId="0" fillId="0" borderId="4" xfId="0" applyBorder="1" applyAlignment="1">
      <alignment vertical="top" wrapText="1"/>
    </xf>
    <xf numFmtId="43" fontId="7" fillId="2" borderId="1" xfId="1" quotePrefix="1" applyFont="1" applyFill="1" applyBorder="1" applyAlignment="1">
      <alignment horizontal="center" vertical="center"/>
    </xf>
    <xf numFmtId="43" fontId="7" fillId="2" borderId="1" xfId="0" quotePrefix="1" applyNumberFormat="1" applyFont="1" applyFill="1" applyBorder="1" applyAlignment="1">
      <alignment horizontal="center" vertical="center"/>
    </xf>
    <xf numFmtId="0" fontId="8" fillId="5" borderId="1" xfId="2" applyNumberFormat="1" applyFont="1" applyFill="1" applyBorder="1" applyAlignment="1">
      <alignment horizontal="center" vertical="top"/>
    </xf>
    <xf numFmtId="43" fontId="8" fillId="5" borderId="1" xfId="1" applyFont="1" applyFill="1" applyBorder="1" applyAlignment="1">
      <alignment horizontal="center" vertical="top"/>
    </xf>
    <xf numFmtId="0" fontId="0" fillId="0" borderId="0" xfId="0" applyAlignment="1">
      <alignment horizontal="center"/>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0" borderId="1" xfId="3"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wrapText="1"/>
    </xf>
    <xf numFmtId="0" fontId="0" fillId="5" borderId="2" xfId="0" applyFill="1" applyBorder="1" applyAlignment="1">
      <alignment horizontal="center" vertical="center" wrapText="1"/>
    </xf>
    <xf numFmtId="0" fontId="7" fillId="5"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43" fontId="2" fillId="0" borderId="8" xfId="1" applyFont="1" applyBorder="1" applyAlignment="1">
      <alignment horizontal="center" vertical="top"/>
    </xf>
    <xf numFmtId="0" fontId="0" fillId="0" borderId="0" xfId="0" applyAlignment="1">
      <alignment horizontal="center" vertical="top" wrapText="1"/>
    </xf>
    <xf numFmtId="0" fontId="2" fillId="0" borderId="2" xfId="3" applyFont="1" applyFill="1" applyBorder="1" applyAlignment="1">
      <alignment horizontal="center" vertical="top" wrapText="1"/>
    </xf>
    <xf numFmtId="0" fontId="8" fillId="5" borderId="2" xfId="2" applyNumberFormat="1" applyFont="1" applyFill="1" applyBorder="1" applyAlignment="1">
      <alignment horizontal="center" vertical="top"/>
    </xf>
    <xf numFmtId="43" fontId="8" fillId="5" borderId="2" xfId="1" applyFont="1" applyFill="1" applyBorder="1" applyAlignment="1">
      <alignment horizontal="center" vertical="top"/>
    </xf>
    <xf numFmtId="43" fontId="0" fillId="0" borderId="2" xfId="1" applyFont="1" applyBorder="1" applyAlignment="1">
      <alignment horizontal="center" vertical="top" wrapText="1"/>
    </xf>
    <xf numFmtId="0" fontId="2" fillId="0" borderId="0" xfId="3" applyFont="1" applyFill="1" applyBorder="1" applyAlignment="1">
      <alignment horizontal="center" vertical="top" wrapText="1"/>
    </xf>
    <xf numFmtId="0" fontId="8" fillId="5" borderId="0" xfId="2" applyNumberFormat="1" applyFont="1" applyFill="1" applyBorder="1" applyAlignment="1">
      <alignment horizontal="center" vertical="top"/>
    </xf>
    <xf numFmtId="43" fontId="8" fillId="5" borderId="0" xfId="1" applyFont="1" applyFill="1" applyBorder="1" applyAlignment="1">
      <alignment horizontal="center" vertical="top"/>
    </xf>
    <xf numFmtId="43" fontId="0" fillId="0" borderId="0" xfId="1" applyFont="1" applyBorder="1" applyAlignment="1">
      <alignment horizontal="center" vertical="top" wrapText="1"/>
    </xf>
    <xf numFmtId="0" fontId="0" fillId="0" borderId="0" xfId="0" applyAlignment="1">
      <alignment horizontal="center" vertical="top"/>
    </xf>
    <xf numFmtId="0" fontId="7" fillId="0" borderId="1" xfId="0" quotePrefix="1" applyFont="1" applyFill="1" applyBorder="1" applyAlignment="1">
      <alignment horizontal="center" vertical="center"/>
    </xf>
    <xf numFmtId="43" fontId="7" fillId="0" borderId="1" xfId="1" quotePrefix="1" applyFont="1" applyFill="1" applyBorder="1" applyAlignment="1">
      <alignment horizontal="center" vertical="center"/>
    </xf>
    <xf numFmtId="43" fontId="7" fillId="0" borderId="1" xfId="0" quotePrefix="1"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1" xfId="0" quotePrefix="1" applyFont="1" applyFill="1" applyBorder="1" applyAlignment="1">
      <alignment horizontal="center" vertical="center"/>
    </xf>
    <xf numFmtId="43" fontId="1" fillId="0" borderId="2" xfId="1" quotePrefix="1" applyFont="1" applyFill="1" applyBorder="1" applyAlignment="1">
      <alignment horizontal="center" vertical="center"/>
    </xf>
    <xf numFmtId="0" fontId="0" fillId="0" borderId="1" xfId="0" quotePrefix="1" applyFont="1" applyFill="1" applyBorder="1" applyAlignment="1">
      <alignment horizontal="center" vertical="top" wrapText="1"/>
    </xf>
    <xf numFmtId="0" fontId="0" fillId="0" borderId="1" xfId="0" quotePrefix="1" applyFont="1" applyFill="1" applyBorder="1" applyAlignment="1">
      <alignment horizontal="center" vertical="top"/>
    </xf>
    <xf numFmtId="43" fontId="1" fillId="0" borderId="2" xfId="1" quotePrefix="1" applyFont="1" applyFill="1" applyBorder="1" applyAlignment="1">
      <alignment horizontal="center" vertical="top"/>
    </xf>
    <xf numFmtId="0" fontId="0" fillId="0" borderId="0" xfId="0" applyAlignment="1">
      <alignment horizontal="center"/>
    </xf>
    <xf numFmtId="0" fontId="0" fillId="4" borderId="1" xfId="0" applyFill="1" applyBorder="1" applyAlignment="1">
      <alignment horizontal="center" vertical="center" wrapText="1"/>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9" fillId="0" borderId="10" xfId="0" applyFont="1" applyFill="1" applyBorder="1" applyAlignment="1">
      <alignment horizontal="center" vertical="center" wrapText="1"/>
    </xf>
    <xf numFmtId="0" fontId="0" fillId="5" borderId="4" xfId="0" applyFill="1" applyBorder="1" applyAlignment="1">
      <alignment horizontal="center" vertical="center" wrapText="1"/>
    </xf>
    <xf numFmtId="0" fontId="7" fillId="0" borderId="1" xfId="0" applyFont="1" applyFill="1" applyBorder="1" applyAlignment="1">
      <alignment horizontal="center" vertical="center" wrapText="1"/>
    </xf>
    <xf numFmtId="43" fontId="7" fillId="8" borderId="2" xfId="1" quotePrefix="1" applyFont="1" applyFill="1" applyBorder="1" applyAlignment="1">
      <alignment horizontal="center" vertical="center"/>
    </xf>
    <xf numFmtId="0" fontId="0" fillId="0" borderId="1" xfId="0" applyBorder="1"/>
    <xf numFmtId="43" fontId="0" fillId="4" borderId="1" xfId="0" applyNumberFormat="1" applyFill="1" applyBorder="1" applyAlignment="1">
      <alignment horizontal="center" vertical="center" wrapText="1"/>
    </xf>
    <xf numFmtId="0" fontId="7" fillId="3" borderId="3"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3" borderId="1" xfId="2" applyNumberFormat="1" applyFont="1" applyFill="1" applyBorder="1" applyAlignment="1">
      <alignment horizontal="center" vertical="center"/>
    </xf>
    <xf numFmtId="164" fontId="8" fillId="3" borderId="2" xfId="1" applyNumberFormat="1" applyFont="1" applyFill="1" applyBorder="1" applyAlignment="1">
      <alignment horizontal="center" vertical="center"/>
    </xf>
    <xf numFmtId="43" fontId="0" fillId="4" borderId="2" xfId="1" applyFont="1" applyFill="1" applyBorder="1" applyAlignment="1">
      <alignment horizontal="center" vertical="center" wrapText="1"/>
    </xf>
    <xf numFmtId="0" fontId="0" fillId="0" borderId="2" xfId="0" applyBorder="1"/>
    <xf numFmtId="0" fontId="0" fillId="0" borderId="0" xfId="0" applyBorder="1"/>
    <xf numFmtId="43" fontId="1" fillId="0" borderId="1" xfId="1" quotePrefix="1" applyFont="1" applyFill="1" applyBorder="1" applyAlignment="1">
      <alignment horizontal="center" vertical="center"/>
    </xf>
    <xf numFmtId="0" fontId="7" fillId="3" borderId="4" xfId="0" applyFont="1" applyFill="1" applyBorder="1" applyAlignment="1">
      <alignment horizontal="center" vertical="center" wrapText="1"/>
    </xf>
    <xf numFmtId="0" fontId="0" fillId="3" borderId="2" xfId="0" applyFill="1" applyBorder="1" applyAlignment="1">
      <alignment horizontal="center" vertical="center" wrapText="1"/>
    </xf>
    <xf numFmtId="0" fontId="8" fillId="3" borderId="2" xfId="2" applyNumberFormat="1" applyFont="1" applyFill="1" applyBorder="1" applyAlignment="1">
      <alignment horizontal="center" vertical="center"/>
    </xf>
    <xf numFmtId="0" fontId="0" fillId="5" borderId="10" xfId="0" applyFill="1" applyBorder="1" applyAlignment="1">
      <alignment horizontal="center" vertical="center" wrapText="1"/>
    </xf>
    <xf numFmtId="0" fontId="0" fillId="5" borderId="10" xfId="0" applyFill="1" applyBorder="1"/>
    <xf numFmtId="0" fontId="9" fillId="5" borderId="10" xfId="0" applyFont="1" applyFill="1" applyBorder="1" applyAlignment="1">
      <alignment horizontal="center" vertical="center" wrapText="1"/>
    </xf>
    <xf numFmtId="0" fontId="0" fillId="5" borderId="11" xfId="0" applyFill="1" applyBorder="1"/>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43" fontId="7" fillId="6" borderId="2" xfId="1" applyFont="1" applyFill="1" applyBorder="1" applyAlignment="1">
      <alignment horizontal="center" vertical="center" wrapText="1"/>
    </xf>
    <xf numFmtId="0" fontId="0" fillId="5" borderId="4" xfId="0" applyFill="1" applyBorder="1"/>
    <xf numFmtId="0" fontId="0" fillId="5" borderId="2" xfId="0" applyFill="1" applyBorder="1"/>
    <xf numFmtId="0" fontId="7" fillId="4" borderId="2" xfId="0" quotePrefix="1"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5" fillId="5" borderId="1" xfId="2" applyNumberFormat="1" applyFont="1" applyFill="1" applyBorder="1" applyAlignment="1">
      <alignment horizontal="center" vertical="center"/>
    </xf>
    <xf numFmtId="164" fontId="15" fillId="5" borderId="1" xfId="1" applyNumberFormat="1" applyFont="1" applyFill="1" applyBorder="1" applyAlignment="1">
      <alignment horizontal="center" vertical="center"/>
    </xf>
    <xf numFmtId="43" fontId="7" fillId="0" borderId="1" xfId="1"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9" fillId="5" borderId="1" xfId="2" applyNumberFormat="1" applyFont="1" applyFill="1" applyBorder="1" applyAlignment="1">
      <alignment horizontal="center" vertical="center"/>
    </xf>
    <xf numFmtId="43" fontId="7" fillId="10" borderId="2" xfId="1" quotePrefix="1" applyFont="1" applyFill="1" applyBorder="1" applyAlignment="1">
      <alignment horizontal="center" vertical="center"/>
    </xf>
    <xf numFmtId="3" fontId="7" fillId="10" borderId="2" xfId="0" quotePrefix="1" applyNumberFormat="1" applyFont="1" applyFill="1" applyBorder="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0" fontId="0" fillId="4" borderId="3"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0" xfId="0" applyFont="1" applyFill="1" applyAlignment="1">
      <alignment horizontal="center" vertical="center" wrapText="1"/>
    </xf>
    <xf numFmtId="0" fontId="0" fillId="0" borderId="0" xfId="0" applyFont="1" applyAlignment="1">
      <alignment horizontal="center" vertical="center" wrapText="1"/>
    </xf>
    <xf numFmtId="0" fontId="15" fillId="4" borderId="1" xfId="2" applyNumberFormat="1" applyFont="1" applyFill="1" applyBorder="1" applyAlignment="1">
      <alignment horizontal="center" vertical="center"/>
    </xf>
    <xf numFmtId="43" fontId="9" fillId="5" borderId="1" xfId="1" applyFont="1" applyFill="1" applyBorder="1" applyAlignment="1">
      <alignment horizontal="center" vertical="center"/>
    </xf>
    <xf numFmtId="3" fontId="15" fillId="4" borderId="1" xfId="2" applyNumberFormat="1" applyFont="1" applyFill="1" applyBorder="1" applyAlignment="1">
      <alignment horizontal="center" vertical="center"/>
    </xf>
    <xf numFmtId="3" fontId="9" fillId="5" borderId="1" xfId="2" applyNumberFormat="1" applyFont="1" applyFill="1" applyBorder="1" applyAlignment="1">
      <alignment horizontal="center" vertical="center"/>
    </xf>
    <xf numFmtId="43" fontId="15" fillId="5" borderId="1" xfId="1" applyFont="1" applyFill="1" applyBorder="1" applyAlignment="1">
      <alignment horizontal="center" vertical="center"/>
    </xf>
    <xf numFmtId="0" fontId="0" fillId="2" borderId="0" xfId="0" applyFont="1" applyFill="1" applyAlignment="1">
      <alignment horizontal="center" vertical="center" wrapText="1"/>
    </xf>
    <xf numFmtId="3" fontId="15" fillId="5" borderId="1" xfId="2" applyNumberFormat="1"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wrapText="1"/>
    </xf>
    <xf numFmtId="43" fontId="7" fillId="4" borderId="2" xfId="1" quotePrefix="1" applyFont="1" applyFill="1" applyBorder="1" applyAlignment="1">
      <alignment horizontal="center" vertical="center"/>
    </xf>
    <xf numFmtId="43" fontId="15" fillId="4" borderId="1" xfId="1" applyFont="1" applyFill="1" applyBorder="1" applyAlignment="1">
      <alignment horizontal="center" vertical="center"/>
    </xf>
    <xf numFmtId="0" fontId="7" fillId="10" borderId="1" xfId="0" applyFont="1" applyFill="1" applyBorder="1" applyAlignment="1">
      <alignment horizontal="center" vertical="center" wrapText="1"/>
    </xf>
    <xf numFmtId="0" fontId="7" fillId="10" borderId="1" xfId="0" quotePrefix="1" applyFont="1" applyFill="1" applyBorder="1" applyAlignment="1">
      <alignment horizontal="center" vertical="center"/>
    </xf>
    <xf numFmtId="3" fontId="7" fillId="8" borderId="2" xfId="0" quotePrefix="1" applyNumberFormat="1" applyFont="1" applyFill="1" applyBorder="1" applyAlignment="1">
      <alignment horizontal="center" vertical="center"/>
    </xf>
    <xf numFmtId="0" fontId="0" fillId="5"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9" fillId="5" borderId="0" xfId="2" applyNumberFormat="1" applyFont="1" applyFill="1" applyBorder="1" applyAlignment="1">
      <alignment horizontal="center" vertical="center"/>
    </xf>
    <xf numFmtId="43" fontId="9" fillId="5" borderId="0" xfId="1" applyFont="1" applyFill="1" applyBorder="1" applyAlignment="1">
      <alignment horizontal="center" vertical="center"/>
    </xf>
    <xf numFmtId="0" fontId="0" fillId="0" borderId="0" xfId="0" applyFont="1" applyBorder="1" applyAlignment="1">
      <alignment wrapText="1"/>
    </xf>
    <xf numFmtId="164" fontId="5" fillId="10" borderId="2" xfId="1" quotePrefix="1" applyNumberFormat="1" applyFont="1" applyFill="1" applyBorder="1" applyAlignment="1">
      <alignment horizontal="center" vertical="center"/>
    </xf>
    <xf numFmtId="0" fontId="0" fillId="5" borderId="4" xfId="0" applyFill="1" applyBorder="1" applyAlignment="1">
      <alignment vertical="center" wrapText="1"/>
    </xf>
    <xf numFmtId="0" fontId="0" fillId="0" borderId="0" xfId="0" applyAlignment="1">
      <alignment vertical="center"/>
    </xf>
    <xf numFmtId="43" fontId="0" fillId="0" borderId="1" xfId="1" applyFont="1" applyBorder="1"/>
    <xf numFmtId="164" fontId="0" fillId="0" borderId="1" xfId="1" applyNumberFormat="1" applyFont="1" applyBorder="1"/>
    <xf numFmtId="43" fontId="1" fillId="15" borderId="2" xfId="1" quotePrefix="1" applyFont="1" applyFill="1" applyBorder="1" applyAlignment="1">
      <alignment horizontal="center" vertical="center"/>
    </xf>
    <xf numFmtId="43" fontId="8" fillId="0" borderId="1" xfId="1" applyFont="1" applyFill="1" applyBorder="1" applyAlignment="1">
      <alignment horizontal="center" vertical="top"/>
    </xf>
    <xf numFmtId="43" fontId="1" fillId="15" borderId="2" xfId="1" quotePrefix="1" applyFont="1" applyFill="1" applyBorder="1" applyAlignment="1">
      <alignment horizontal="center" vertical="top"/>
    </xf>
    <xf numFmtId="0" fontId="7" fillId="2" borderId="1" xfId="0" applyFont="1" applyFill="1" applyBorder="1" applyAlignment="1">
      <alignment horizontal="center" vertical="center"/>
    </xf>
    <xf numFmtId="164" fontId="7" fillId="2" borderId="1" xfId="1" applyNumberFormat="1" applyFont="1" applyFill="1" applyBorder="1"/>
    <xf numFmtId="43" fontId="7" fillId="2" borderId="1" xfId="1" applyFont="1" applyFill="1" applyBorder="1"/>
    <xf numFmtId="0" fontId="0" fillId="0" borderId="0" xfId="0" applyAlignment="1">
      <alignment horizontal="center"/>
    </xf>
    <xf numFmtId="0" fontId="9" fillId="0" borderId="3" xfId="0" applyFont="1" applyFill="1" applyBorder="1" applyAlignment="1">
      <alignment horizontal="center" vertical="top" wrapText="1"/>
    </xf>
    <xf numFmtId="0" fontId="0" fillId="4" borderId="3" xfId="0" applyFill="1" applyBorder="1" applyAlignment="1">
      <alignment horizontal="center"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readingOrder="1"/>
    </xf>
    <xf numFmtId="0" fontId="0" fillId="2" borderId="3" xfId="0" applyFill="1" applyBorder="1" applyAlignment="1">
      <alignment horizontal="center" vertical="center" wrapText="1"/>
    </xf>
    <xf numFmtId="0" fontId="0" fillId="0" borderId="4" xfId="0" applyBorder="1" applyAlignment="1">
      <alignment horizontal="center" vertical="top" wrapText="1"/>
    </xf>
    <xf numFmtId="0" fontId="0" fillId="0" borderId="1" xfId="0" applyFill="1" applyBorder="1" applyAlignment="1">
      <alignment horizontal="center" vertical="center" wrapText="1"/>
    </xf>
    <xf numFmtId="0" fontId="9" fillId="0" borderId="1" xfId="0" applyFont="1" applyFill="1" applyBorder="1" applyAlignment="1">
      <alignment horizontal="center" vertical="center" wrapText="1"/>
    </xf>
    <xf numFmtId="0" fontId="17" fillId="5" borderId="1" xfId="2" applyNumberFormat="1" applyFont="1" applyFill="1" applyBorder="1" applyAlignment="1">
      <alignment horizontal="center" vertical="center"/>
    </xf>
    <xf numFmtId="43" fontId="17" fillId="5" borderId="1" xfId="1" applyFont="1" applyFill="1" applyBorder="1" applyAlignment="1">
      <alignment horizontal="center" vertical="center"/>
    </xf>
    <xf numFmtId="0" fontId="18" fillId="0" borderId="1" xfId="0" applyFont="1" applyBorder="1" applyAlignment="1">
      <alignment horizontal="center" vertical="center" wrapText="1"/>
    </xf>
    <xf numFmtId="43" fontId="18" fillId="0" borderId="1" xfId="1" applyFont="1" applyBorder="1" applyAlignment="1">
      <alignment horizontal="center" vertical="center" wrapText="1"/>
    </xf>
    <xf numFmtId="0" fontId="19" fillId="3" borderId="1" xfId="0" applyFont="1" applyFill="1" applyBorder="1" applyAlignment="1">
      <alignment horizontal="center" vertical="center" wrapText="1"/>
    </xf>
    <xf numFmtId="43" fontId="19" fillId="3" borderId="1" xfId="1" applyFont="1" applyFill="1" applyBorder="1" applyAlignment="1">
      <alignment horizontal="center" vertical="center" wrapText="1"/>
    </xf>
    <xf numFmtId="0" fontId="17" fillId="0" borderId="1" xfId="0" applyFont="1" applyFill="1" applyBorder="1" applyAlignment="1">
      <alignment horizontal="center" wrapText="1"/>
    </xf>
    <xf numFmtId="43" fontId="17" fillId="0" borderId="8" xfId="1" applyFont="1" applyBorder="1" applyAlignment="1">
      <alignment horizontal="center"/>
    </xf>
    <xf numFmtId="0" fontId="18" fillId="0" borderId="1" xfId="0" applyFont="1" applyBorder="1" applyAlignment="1">
      <alignment wrapText="1"/>
    </xf>
    <xf numFmtId="0" fontId="5" fillId="2" borderId="2"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quotePrefix="1" applyFont="1" applyFill="1" applyBorder="1" applyAlignment="1">
      <alignment horizontal="center" vertical="center"/>
    </xf>
    <xf numFmtId="43" fontId="5" fillId="2" borderId="2" xfId="1" quotePrefix="1" applyFont="1" applyFill="1" applyBorder="1" applyAlignment="1">
      <alignment horizontal="center" vertical="center"/>
    </xf>
    <xf numFmtId="43" fontId="5" fillId="2" borderId="2" xfId="0" quotePrefix="1"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3" fontId="19" fillId="0" borderId="1" xfId="1" applyFont="1" applyFill="1" applyBorder="1" applyAlignment="1">
      <alignment horizontal="center" vertical="center" wrapText="1"/>
    </xf>
    <xf numFmtId="0" fontId="8" fillId="5" borderId="1" xfId="2" applyNumberFormat="1" applyFont="1" applyFill="1" applyBorder="1" applyAlignment="1">
      <alignment horizontal="right" vertical="center"/>
    </xf>
    <xf numFmtId="43" fontId="8" fillId="5" borderId="1" xfId="1" applyFont="1" applyFill="1" applyBorder="1" applyAlignment="1">
      <alignment horizontal="right" vertical="center"/>
    </xf>
    <xf numFmtId="0" fontId="0" fillId="0" borderId="1" xfId="0" applyBorder="1" applyAlignment="1">
      <alignment horizontal="right" vertical="center" wrapText="1"/>
    </xf>
    <xf numFmtId="164" fontId="0" fillId="0" borderId="1" xfId="1" applyNumberFormat="1" applyFont="1" applyBorder="1" applyAlignment="1">
      <alignment horizontal="right" vertical="center" wrapText="1"/>
    </xf>
    <xf numFmtId="0" fontId="0" fillId="0" borderId="2" xfId="0" applyBorder="1" applyAlignment="1">
      <alignment horizontal="right" vertical="center" wrapText="1"/>
    </xf>
    <xf numFmtId="164" fontId="0" fillId="0" borderId="2" xfId="1" applyNumberFormat="1" applyFont="1" applyBorder="1" applyAlignment="1">
      <alignment horizontal="right" vertical="center" wrapText="1"/>
    </xf>
    <xf numFmtId="0" fontId="0" fillId="0" borderId="0" xfId="0" applyAlignment="1">
      <alignment horizontal="center"/>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6" xfId="0"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3" xfId="0"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3" fontId="0" fillId="4" borderId="1" xfId="1" applyFont="1" applyFill="1" applyBorder="1" applyAlignment="1">
      <alignment horizontal="center" vertical="center" wrapText="1"/>
    </xf>
    <xf numFmtId="0" fontId="0" fillId="4" borderId="1" xfId="0" applyFill="1" applyBorder="1" applyAlignment="1">
      <alignment horizontal="center" vertical="center"/>
    </xf>
    <xf numFmtId="0" fontId="9" fillId="0"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Fill="1" applyBorder="1" applyAlignment="1">
      <alignment horizontal="center" vertical="center" wrapText="1"/>
    </xf>
    <xf numFmtId="0" fontId="2" fillId="16" borderId="21" xfId="4" applyNumberFormat="1" applyFont="1" applyAlignment="1">
      <alignment horizontal="right" vertical="center"/>
    </xf>
    <xf numFmtId="164" fontId="2" fillId="0" borderId="1" xfId="1" applyNumberFormat="1" applyFont="1" applyBorder="1" applyAlignment="1">
      <alignment horizontal="right"/>
    </xf>
    <xf numFmtId="164" fontId="8" fillId="5" borderId="1" xfId="1" applyNumberFormat="1" applyFont="1" applyFill="1" applyBorder="1" applyAlignment="1">
      <alignment horizontal="right" vertical="center"/>
    </xf>
    <xf numFmtId="0" fontId="21" fillId="0" borderId="0" xfId="0" applyFont="1"/>
    <xf numFmtId="0" fontId="0" fillId="0" borderId="0" xfId="0" applyAlignment="1">
      <alignment horizontal="center"/>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3" xfId="0" applyFill="1" applyBorder="1" applyAlignment="1">
      <alignment horizontal="center" vertical="center"/>
    </xf>
    <xf numFmtId="0" fontId="0" fillId="4" borderId="1" xfId="0" applyFill="1" applyBorder="1" applyAlignment="1">
      <alignment horizontal="center" vertic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2" fillId="0" borderId="1" xfId="0" applyFont="1" applyBorder="1" applyAlignment="1">
      <alignment horizontal="right"/>
    </xf>
    <xf numFmtId="164" fontId="9" fillId="0" borderId="1" xfId="1" applyNumberFormat="1" applyFont="1" applyFill="1" applyBorder="1"/>
    <xf numFmtId="0" fontId="2" fillId="0" borderId="1" xfId="0" applyFont="1" applyBorder="1" applyAlignment="1">
      <alignment horizontal="center"/>
    </xf>
    <xf numFmtId="164" fontId="9" fillId="0" borderId="1" xfId="1" applyNumberFormat="1" applyFont="1" applyFill="1" applyBorder="1" applyAlignment="1">
      <alignment horizontal="center"/>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9" fillId="0" borderId="22" xfId="0" applyFont="1" applyFill="1" applyBorder="1" applyAlignment="1">
      <alignment horizontal="center" vertical="top" wrapText="1"/>
    </xf>
    <xf numFmtId="0" fontId="9" fillId="0" borderId="17" xfId="0" applyFont="1" applyFill="1" applyBorder="1" applyAlignment="1">
      <alignment horizontal="center" vertical="top" wrapText="1"/>
    </xf>
    <xf numFmtId="0" fontId="7" fillId="12" borderId="11" xfId="0" quotePrefix="1" applyFont="1" applyFill="1" applyBorder="1" applyAlignment="1">
      <alignment horizontal="center" vertical="center"/>
    </xf>
    <xf numFmtId="0" fontId="7" fillId="2" borderId="11" xfId="0" quotePrefix="1" applyFont="1" applyFill="1" applyBorder="1" applyAlignment="1">
      <alignment horizontal="center" vertical="center"/>
    </xf>
    <xf numFmtId="0" fontId="0" fillId="0" borderId="1" xfId="0" applyFill="1" applyBorder="1" applyAlignment="1">
      <alignment horizontal="center" vertical="top" wrapText="1"/>
    </xf>
    <xf numFmtId="0" fontId="0" fillId="0" borderId="0" xfId="0" applyFill="1"/>
    <xf numFmtId="43" fontId="3" fillId="0" borderId="1" xfId="1" applyFont="1" applyFill="1" applyBorder="1" applyAlignment="1">
      <alignment horizontal="center" vertical="center" wrapText="1"/>
    </xf>
    <xf numFmtId="0" fontId="2" fillId="16" borderId="21" xfId="4" applyNumberFormat="1" applyFont="1" applyAlignment="1">
      <alignment horizontal="center" vertical="center"/>
    </xf>
    <xf numFmtId="164" fontId="2" fillId="0" borderId="1" xfId="1" applyNumberFormat="1" applyFont="1" applyBorder="1" applyAlignment="1">
      <alignment horizontal="center"/>
    </xf>
    <xf numFmtId="43" fontId="9" fillId="0" borderId="1" xfId="1" applyFont="1" applyFill="1" applyBorder="1"/>
    <xf numFmtId="43" fontId="9" fillId="0" borderId="1" xfId="1" applyFont="1" applyFill="1" applyBorder="1" applyAlignment="1">
      <alignment horizontal="center"/>
    </xf>
    <xf numFmtId="43" fontId="0" fillId="4" borderId="3" xfId="1" applyFont="1" applyFill="1" applyBorder="1" applyAlignment="1">
      <alignment horizontal="center" vertical="center"/>
    </xf>
    <xf numFmtId="43" fontId="2" fillId="0" borderId="1" xfId="1" applyFont="1" applyBorder="1" applyAlignment="1">
      <alignment horizontal="right"/>
    </xf>
    <xf numFmtId="0" fontId="2" fillId="0" borderId="1" xfId="0" applyFont="1" applyBorder="1" applyAlignment="1">
      <alignment horizontal="center" vertical="center"/>
    </xf>
    <xf numFmtId="0" fontId="7" fillId="0" borderId="0" xfId="0" applyFont="1" applyAlignment="1">
      <alignment horizontal="center"/>
    </xf>
    <xf numFmtId="43" fontId="7" fillId="0" borderId="0" xfId="1" applyFont="1" applyAlignment="1">
      <alignment horizontal="center"/>
    </xf>
    <xf numFmtId="43" fontId="7" fillId="14" borderId="2" xfId="1" quotePrefix="1" applyFont="1" applyFill="1" applyBorder="1" applyAlignment="1">
      <alignment horizontal="right" vertical="center"/>
    </xf>
    <xf numFmtId="0" fontId="0" fillId="4" borderId="19" xfId="0" applyFill="1" applyBorder="1" applyAlignment="1">
      <alignment horizontal="center" vertical="center" wrapText="1"/>
    </xf>
    <xf numFmtId="43" fontId="3" fillId="3" borderId="0" xfId="1" applyFont="1" applyFill="1" applyAlignment="1">
      <alignment horizontal="center" vertical="center" wrapText="1"/>
    </xf>
    <xf numFmtId="43" fontId="0" fillId="4" borderId="1" xfId="1" applyFont="1" applyFill="1" applyBorder="1" applyAlignment="1">
      <alignment horizontal="center" vertical="center"/>
    </xf>
    <xf numFmtId="0" fontId="0" fillId="0" borderId="1" xfId="0" applyBorder="1" applyAlignment="1">
      <alignment horizontal="center" vertical="center" wrapText="1"/>
    </xf>
    <xf numFmtId="0" fontId="9"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0" fillId="0" borderId="4" xfId="0" applyFill="1" applyBorder="1" applyAlignment="1">
      <alignment horizontal="center" vertical="top" wrapText="1"/>
    </xf>
    <xf numFmtId="0" fontId="0" fillId="4"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Border="1" applyAlignment="1">
      <alignment horizontal="center" vertical="top" wrapText="1"/>
    </xf>
    <xf numFmtId="0" fontId="0" fillId="4" borderId="1" xfId="0" applyFill="1" applyBorder="1" applyAlignment="1">
      <alignment horizontal="center" vertical="center"/>
    </xf>
    <xf numFmtId="0" fontId="0" fillId="0" borderId="2" xfId="0" applyBorder="1" applyAlignment="1">
      <alignment horizontal="center" vertical="top" wrapText="1"/>
    </xf>
    <xf numFmtId="0" fontId="0" fillId="0" borderId="2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4" xfId="0" applyFill="1" applyBorder="1" applyAlignment="1">
      <alignment wrapText="1"/>
    </xf>
    <xf numFmtId="0" fontId="0" fillId="0" borderId="2" xfId="0" applyFill="1"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3" fontId="7" fillId="0" borderId="2" xfId="0" applyNumberFormat="1" applyFont="1" applyFill="1" applyBorder="1" applyAlignment="1">
      <alignment horizontal="center" vertical="center" wrapText="1"/>
    </xf>
    <xf numFmtId="43" fontId="7" fillId="0" borderId="2"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top" wrapText="1"/>
    </xf>
    <xf numFmtId="0" fontId="9" fillId="0" borderId="11" xfId="0" applyFont="1" applyFill="1" applyBorder="1" applyAlignment="1">
      <alignment horizontal="center" vertical="top" wrapText="1"/>
    </xf>
    <xf numFmtId="0" fontId="0" fillId="0" borderId="2" xfId="0" applyBorder="1" applyAlignment="1">
      <alignment horizontal="center" vertical="top" wrapText="1"/>
    </xf>
    <xf numFmtId="0" fontId="0" fillId="0" borderId="1" xfId="0" applyBorder="1" applyAlignment="1">
      <alignment horizontal="center" vertical="center" wrapText="1"/>
    </xf>
    <xf numFmtId="43" fontId="0" fillId="0" borderId="0" xfId="1" applyFont="1" applyBorder="1"/>
    <xf numFmtId="43" fontId="0" fillId="0" borderId="1" xfId="1" applyFont="1" applyBorder="1" applyAlignment="1">
      <alignment horizontal="center" vertical="center"/>
    </xf>
    <xf numFmtId="0" fontId="7" fillId="2" borderId="1" xfId="1" applyNumberFormat="1" applyFont="1" applyFill="1" applyBorder="1" applyAlignment="1">
      <alignment horizontal="center"/>
    </xf>
    <xf numFmtId="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2" fillId="0" borderId="0" xfId="0" applyFont="1"/>
    <xf numFmtId="43" fontId="22" fillId="0" borderId="0" xfId="1" applyFont="1"/>
    <xf numFmtId="0" fontId="0" fillId="0" borderId="1" xfId="0" applyBorder="1" applyAlignment="1">
      <alignment horizontal="center" vertical="center"/>
    </xf>
    <xf numFmtId="0" fontId="0" fillId="0" borderId="1" xfId="0" applyBorder="1" applyAlignment="1">
      <alignment horizontal="center" vertical="center" wrapText="1"/>
    </xf>
    <xf numFmtId="43" fontId="0" fillId="0" borderId="1" xfId="1" applyFont="1" applyBorder="1" applyAlignment="1">
      <alignment horizontal="righ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3" fillId="0" borderId="0" xfId="0" applyFont="1" applyAlignment="1">
      <alignment horizontal="center"/>
    </xf>
    <xf numFmtId="43" fontId="7" fillId="0" borderId="2" xfId="1" quotePrefix="1" applyFont="1" applyFill="1" applyBorder="1" applyAlignment="1">
      <alignment horizontal="center" vertical="center"/>
    </xf>
    <xf numFmtId="0" fontId="24" fillId="0" borderId="0" xfId="0" applyFont="1"/>
    <xf numFmtId="43" fontId="24" fillId="0" borderId="0" xfId="1" applyFont="1"/>
    <xf numFmtId="0" fontId="25" fillId="0" borderId="0" xfId="0" applyFont="1"/>
    <xf numFmtId="0" fontId="0" fillId="0" borderId="0" xfId="0" applyNumberFormat="1"/>
    <xf numFmtId="0" fontId="0" fillId="0" borderId="0" xfId="0" applyNumberFormat="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3" fillId="0" borderId="0" xfId="0" applyFont="1" applyAlignment="1">
      <alignment horizontal="center"/>
    </xf>
    <xf numFmtId="0" fontId="26" fillId="0" borderId="0" xfId="0" applyFont="1"/>
    <xf numFmtId="0" fontId="27" fillId="0" borderId="0" xfId="0" applyFont="1"/>
    <xf numFmtId="0" fontId="27" fillId="0" borderId="0" xfId="0" applyNumberFormat="1" applyFont="1" applyAlignment="1">
      <alignment horizontal="center"/>
    </xf>
    <xf numFmtId="0" fontId="28" fillId="0" borderId="0" xfId="0" applyNumberFormat="1" applyFont="1"/>
    <xf numFmtId="0" fontId="28" fillId="0" borderId="0" xfId="0" applyFont="1"/>
    <xf numFmtId="0" fontId="28" fillId="0" borderId="0" xfId="0" applyNumberFormat="1" applyFont="1" applyAlignment="1">
      <alignment horizontal="center"/>
    </xf>
    <xf numFmtId="0" fontId="29" fillId="0" borderId="0" xfId="0" applyFont="1"/>
    <xf numFmtId="43" fontId="27" fillId="0" borderId="0" xfId="1" applyFont="1"/>
    <xf numFmtId="43" fontId="28" fillId="0" borderId="0" xfId="1" applyFont="1"/>
    <xf numFmtId="0" fontId="26" fillId="0" borderId="0" xfId="0" applyNumberFormat="1" applyFont="1" applyAlignment="1">
      <alignment horizontal="center"/>
    </xf>
    <xf numFmtId="0" fontId="7" fillId="0" borderId="0" xfId="0" applyFont="1" applyFill="1"/>
    <xf numFmtId="164" fontId="7" fillId="2" borderId="1" xfId="1" applyNumberFormat="1" applyFont="1" applyFill="1" applyBorder="1" applyAlignment="1">
      <alignment horizontal="center"/>
    </xf>
    <xf numFmtId="0" fontId="0" fillId="0" borderId="0" xfId="0" applyBorder="1" applyAlignment="1">
      <alignment horizontal="center" vertical="center" wrapText="1"/>
    </xf>
    <xf numFmtId="43" fontId="8" fillId="5" borderId="0" xfId="1" applyFont="1" applyFill="1" applyBorder="1" applyAlignment="1">
      <alignment horizontal="right" vertical="center"/>
    </xf>
    <xf numFmtId="0" fontId="8" fillId="5" borderId="0" xfId="2" applyNumberFormat="1" applyFont="1" applyFill="1" applyBorder="1" applyAlignment="1">
      <alignment horizontal="right" vertical="center"/>
    </xf>
    <xf numFmtId="0" fontId="0" fillId="0" borderId="0" xfId="0" applyNumberFormat="1" applyBorder="1" applyAlignment="1">
      <alignment horizontal="center" vertical="center" wrapText="1"/>
    </xf>
    <xf numFmtId="164" fontId="0" fillId="0" borderId="0" xfId="1" applyNumberFormat="1" applyFont="1" applyBorder="1" applyAlignment="1">
      <alignment horizontal="right" vertical="center" wrapText="1"/>
    </xf>
    <xf numFmtId="164" fontId="0" fillId="0" borderId="0" xfId="1" applyNumberFormat="1" applyFont="1" applyBorder="1"/>
    <xf numFmtId="0" fontId="0" fillId="0" borderId="1" xfId="0" applyBorder="1" applyAlignment="1">
      <alignment horizontal="center" vertical="center" wrapText="1"/>
    </xf>
    <xf numFmtId="43" fontId="7" fillId="2" borderId="1" xfId="1" applyFont="1" applyFill="1" applyBorder="1" applyAlignment="1">
      <alignment horizontal="center"/>
    </xf>
    <xf numFmtId="43" fontId="8" fillId="5" borderId="1" xfId="1" applyFont="1" applyFill="1" applyBorder="1" applyAlignment="1">
      <alignment horizontal="center" vertical="center"/>
    </xf>
    <xf numFmtId="0" fontId="30" fillId="0" borderId="0" xfId="0" applyFont="1"/>
    <xf numFmtId="43" fontId="30" fillId="0" borderId="0" xfId="1" applyFont="1"/>
    <xf numFmtId="43" fontId="25" fillId="0" borderId="0" xfId="1" applyFont="1"/>
    <xf numFmtId="43" fontId="18" fillId="0" borderId="1" xfId="1" applyFont="1" applyBorder="1" applyAlignment="1">
      <alignment horizontal="center" vertical="center"/>
    </xf>
    <xf numFmtId="0" fontId="18"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1" xfId="1" applyNumberFormat="1" applyFont="1" applyFill="1" applyBorder="1" applyAlignment="1">
      <alignment horizontal="center"/>
    </xf>
    <xf numFmtId="43" fontId="5" fillId="2" borderId="1" xfId="1" applyFont="1" applyFill="1" applyBorder="1"/>
    <xf numFmtId="164" fontId="5" fillId="2" borderId="1" xfId="1" applyNumberFormat="1" applyFont="1" applyFill="1" applyBorder="1"/>
    <xf numFmtId="0" fontId="17" fillId="0" borderId="1" xfId="3" applyFont="1" applyFill="1" applyBorder="1" applyAlignment="1">
      <alignment horizontal="center" wrapText="1"/>
    </xf>
    <xf numFmtId="0" fontId="17" fillId="0" borderId="1" xfId="0" applyFont="1" applyBorder="1" applyAlignment="1">
      <alignment horizontal="center"/>
    </xf>
    <xf numFmtId="43" fontId="17" fillId="0" borderId="1" xfId="1" applyFont="1" applyBorder="1" applyAlignment="1">
      <alignment horizontal="center"/>
    </xf>
    <xf numFmtId="43" fontId="17" fillId="5" borderId="1" xfId="1" applyFont="1" applyFill="1" applyBorder="1" applyAlignment="1">
      <alignment horizontal="right" vertical="center"/>
    </xf>
    <xf numFmtId="0" fontId="18" fillId="0" borderId="1" xfId="0" applyFont="1" applyFill="1" applyBorder="1" applyAlignment="1">
      <alignment horizontal="center" vertical="center" wrapText="1"/>
    </xf>
    <xf numFmtId="43" fontId="18" fillId="0" borderId="1" xfId="1" applyFont="1" applyFill="1" applyBorder="1" applyAlignment="1">
      <alignment horizontal="center" vertical="center" wrapText="1"/>
    </xf>
    <xf numFmtId="164" fontId="18" fillId="0" borderId="1" xfId="1" applyNumberFormat="1" applyFont="1" applyBorder="1"/>
    <xf numFmtId="43" fontId="18" fillId="0" borderId="1" xfId="1" applyFont="1" applyBorder="1"/>
    <xf numFmtId="0" fontId="18" fillId="0" borderId="1" xfId="0" applyFont="1" applyBorder="1" applyAlignment="1">
      <alignment horizontal="center" wrapText="1"/>
    </xf>
    <xf numFmtId="0" fontId="18" fillId="0" borderId="1" xfId="0" applyNumberFormat="1" applyFont="1" applyBorder="1" applyAlignment="1">
      <alignment horizontal="center" vertical="center" wrapText="1"/>
    </xf>
    <xf numFmtId="164" fontId="18" fillId="0" borderId="1" xfId="1" applyNumberFormat="1" applyFont="1" applyBorder="1" applyAlignment="1">
      <alignment horizontal="right" vertical="center" wrapText="1"/>
    </xf>
    <xf numFmtId="0" fontId="17" fillId="5" borderId="1" xfId="2" applyNumberFormat="1" applyFont="1" applyFill="1" applyBorder="1" applyAlignment="1">
      <alignment horizontal="center" vertical="top"/>
    </xf>
    <xf numFmtId="43" fontId="17" fillId="5" borderId="1" xfId="1" applyFont="1" applyFill="1" applyBorder="1" applyAlignment="1">
      <alignment horizontal="center" vertical="top"/>
    </xf>
    <xf numFmtId="0" fontId="17" fillId="0" borderId="0" xfId="3" applyFont="1" applyFill="1" applyBorder="1" applyAlignment="1">
      <alignment horizontal="center" wrapText="1"/>
    </xf>
    <xf numFmtId="0" fontId="17" fillId="0" borderId="0" xfId="0" applyFont="1" applyBorder="1" applyAlignment="1">
      <alignment horizontal="center"/>
    </xf>
    <xf numFmtId="43" fontId="17" fillId="0" borderId="0" xfId="1" applyFont="1" applyBorder="1" applyAlignment="1">
      <alignment horizontal="center"/>
    </xf>
    <xf numFmtId="0" fontId="18" fillId="0" borderId="0" xfId="0" applyFont="1" applyBorder="1" applyAlignment="1">
      <alignment horizontal="center" vertical="center" wrapText="1"/>
    </xf>
    <xf numFmtId="43" fontId="18" fillId="0" borderId="0" xfId="1" applyFont="1" applyBorder="1" applyAlignment="1">
      <alignment horizontal="center" vertical="center" wrapText="1"/>
    </xf>
    <xf numFmtId="0" fontId="17" fillId="0" borderId="0" xfId="0" applyFont="1" applyFill="1" applyBorder="1" applyAlignment="1">
      <alignment horizontal="center" wrapText="1"/>
    </xf>
    <xf numFmtId="43" fontId="17" fillId="5" borderId="0" xfId="1" applyFont="1" applyFill="1" applyBorder="1" applyAlignment="1">
      <alignment horizontal="center" vertical="center"/>
    </xf>
    <xf numFmtId="0" fontId="17" fillId="5" borderId="0" xfId="2" applyNumberFormat="1" applyFont="1" applyFill="1" applyBorder="1" applyAlignment="1">
      <alignment horizontal="center" vertical="center"/>
    </xf>
    <xf numFmtId="43" fontId="17" fillId="5" borderId="0" xfId="1" applyFont="1" applyFill="1" applyBorder="1" applyAlignment="1">
      <alignment horizontal="right" vertical="center"/>
    </xf>
    <xf numFmtId="0" fontId="18" fillId="0" borderId="0" xfId="0" applyFont="1" applyBorder="1" applyAlignment="1">
      <alignment horizontal="center" wrapText="1"/>
    </xf>
    <xf numFmtId="164" fontId="18" fillId="0" borderId="0" xfId="1" applyNumberFormat="1" applyFont="1" applyBorder="1"/>
    <xf numFmtId="43" fontId="18" fillId="0" borderId="0" xfId="1" applyFont="1" applyBorder="1"/>
    <xf numFmtId="43" fontId="18" fillId="0" borderId="0" xfId="1" applyFont="1" applyFill="1" applyBorder="1" applyAlignment="1">
      <alignment horizontal="center" vertical="center" wrapText="1"/>
    </xf>
    <xf numFmtId="0" fontId="17" fillId="5" borderId="0" xfId="2" applyNumberFormat="1" applyFont="1" applyFill="1" applyBorder="1" applyAlignment="1">
      <alignment horizontal="center" vertical="top"/>
    </xf>
    <xf numFmtId="43" fontId="17" fillId="5" borderId="0" xfId="1" applyFont="1" applyFill="1" applyBorder="1" applyAlignment="1">
      <alignment horizontal="center" vertical="top"/>
    </xf>
    <xf numFmtId="0" fontId="18" fillId="0" borderId="0" xfId="0" applyNumberFormat="1" applyFont="1" applyBorder="1" applyAlignment="1">
      <alignment horizontal="center" vertical="center" wrapText="1"/>
    </xf>
    <xf numFmtId="164" fontId="18" fillId="0" borderId="0" xfId="1" applyNumberFormat="1" applyFont="1" applyBorder="1" applyAlignment="1">
      <alignment horizontal="right" vertical="center" wrapText="1"/>
    </xf>
    <xf numFmtId="0" fontId="3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3" fontId="8" fillId="5" borderId="0" xfId="1" applyFont="1" applyFill="1" applyBorder="1" applyAlignment="1">
      <alignment horizontal="center" vertical="center"/>
    </xf>
    <xf numFmtId="0" fontId="0" fillId="0" borderId="0" xfId="0" applyBorder="1" applyAlignment="1">
      <alignment horizontal="center" vertical="center" wrapText="1"/>
    </xf>
    <xf numFmtId="43" fontId="0" fillId="0" borderId="0" xfId="0" applyNumberFormat="1"/>
    <xf numFmtId="43" fontId="8" fillId="5" borderId="9" xfId="1" applyFont="1" applyFill="1" applyBorder="1" applyAlignment="1">
      <alignment horizontal="center" vertical="center"/>
    </xf>
    <xf numFmtId="43" fontId="8" fillId="5" borderId="6" xfId="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3" fillId="0" borderId="0" xfId="0" applyFont="1" applyAlignment="1">
      <alignment horizontal="center"/>
    </xf>
    <xf numFmtId="0" fontId="0" fillId="0" borderId="0" xfId="0"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0" fillId="0" borderId="0" xfId="0" quotePrefix="1" applyFont="1" applyFill="1" applyBorder="1" applyAlignment="1">
      <alignment horizontal="center" vertical="center"/>
    </xf>
    <xf numFmtId="43" fontId="1" fillId="0" borderId="0" xfId="1" quotePrefix="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3" fillId="0" borderId="0" xfId="0" applyFont="1" applyAlignment="1">
      <alignment horizontal="center"/>
    </xf>
    <xf numFmtId="0" fontId="0" fillId="0" borderId="0" xfId="0" applyBorder="1" applyAlignment="1">
      <alignment horizontal="center" vertical="center" wrapText="1"/>
    </xf>
    <xf numFmtId="43" fontId="7" fillId="2" borderId="1" xfId="1" applyFont="1" applyFill="1" applyBorder="1" applyAlignment="1">
      <alignment horizontal="center"/>
    </xf>
    <xf numFmtId="43" fontId="8" fillId="5" borderId="1" xfId="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3" fillId="0" borderId="0" xfId="0" applyFont="1" applyAlignment="1">
      <alignment horizontal="center"/>
    </xf>
    <xf numFmtId="43" fontId="8" fillId="5" borderId="1" xfId="1" applyFont="1" applyFill="1" applyBorder="1" applyAlignment="1">
      <alignment horizontal="center" vertical="center"/>
    </xf>
    <xf numFmtId="43" fontId="7" fillId="2" borderId="1" xfId="1" applyFont="1" applyFill="1" applyBorder="1" applyAlignment="1">
      <alignment horizontal="center"/>
    </xf>
    <xf numFmtId="0" fontId="0" fillId="0" borderId="0" xfId="0" applyBorder="1" applyAlignment="1">
      <alignment horizontal="center" vertical="center" wrapText="1"/>
    </xf>
    <xf numFmtId="0" fontId="0" fillId="0" borderId="1" xfId="0" applyBorder="1" applyAlignment="1">
      <alignment horizont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7" fillId="0" borderId="0" xfId="0" applyFont="1" applyAlignment="1">
      <alignment vertical="center"/>
    </xf>
    <xf numFmtId="0" fontId="32" fillId="17" borderId="1" xfId="0" applyFont="1" applyFill="1" applyBorder="1" applyAlignment="1">
      <alignment horizontal="center" vertical="center"/>
    </xf>
    <xf numFmtId="0" fontId="32" fillId="17" borderId="1" xfId="0" applyFont="1" applyFill="1" applyBorder="1" applyAlignment="1">
      <alignment horizontal="center" vertical="center" wrapText="1"/>
    </xf>
    <xf numFmtId="43" fontId="32" fillId="17" borderId="1" xfId="1" applyFont="1" applyFill="1" applyBorder="1" applyAlignment="1">
      <alignment horizontal="center" vertical="center"/>
    </xf>
    <xf numFmtId="164" fontId="22" fillId="0" borderId="0" xfId="1" applyNumberFormat="1" applyFont="1"/>
    <xf numFmtId="164" fontId="0" fillId="0" borderId="1" xfId="0" applyNumberFormat="1" applyBorder="1" applyAlignment="1">
      <alignment horizontal="center" vertical="center" wrapText="1"/>
    </xf>
    <xf numFmtId="164" fontId="32" fillId="17" borderId="1" xfId="1" applyNumberFormat="1" applyFont="1" applyFill="1" applyBorder="1" applyAlignment="1">
      <alignment horizontal="center" vertical="center"/>
    </xf>
    <xf numFmtId="164" fontId="0" fillId="0" borderId="0" xfId="0" applyNumberFormat="1" applyBorder="1" applyAlignment="1">
      <alignment horizontal="center" vertical="center" wrapText="1"/>
    </xf>
    <xf numFmtId="164" fontId="0" fillId="0" borderId="0" xfId="1" applyNumberFormat="1" applyFont="1"/>
    <xf numFmtId="164" fontId="0" fillId="0" borderId="1" xfId="0" applyNumberFormat="1" applyBorder="1" applyAlignment="1">
      <alignment wrapText="1"/>
    </xf>
    <xf numFmtId="164" fontId="0" fillId="0" borderId="1" xfId="0" applyNumberFormat="1" applyBorder="1" applyAlignment="1">
      <alignment horizontal="center" wrapText="1"/>
    </xf>
    <xf numFmtId="0" fontId="5" fillId="17" borderId="1" xfId="0" applyFont="1" applyFill="1" applyBorder="1" applyAlignment="1">
      <alignment horizontal="center" vertical="center"/>
    </xf>
    <xf numFmtId="0" fontId="5" fillId="17" borderId="1" xfId="0" applyFont="1" applyFill="1" applyBorder="1" applyAlignment="1">
      <alignment horizontal="center" vertical="center" wrapText="1"/>
    </xf>
    <xf numFmtId="43" fontId="5" fillId="17" borderId="1" xfId="0" applyNumberFormat="1" applyFont="1" applyFill="1" applyBorder="1" applyAlignment="1">
      <alignment horizontal="center" vertical="center" wrapText="1"/>
    </xf>
    <xf numFmtId="43" fontId="5" fillId="17" borderId="1" xfId="1" applyFont="1" applyFill="1" applyBorder="1" applyAlignment="1">
      <alignment horizontal="center" vertical="center" wrapText="1"/>
    </xf>
    <xf numFmtId="0" fontId="5" fillId="17" borderId="0" xfId="0" applyFont="1" applyFill="1" applyAlignment="1">
      <alignment vertical="center"/>
    </xf>
    <xf numFmtId="43" fontId="0" fillId="2" borderId="1" xfId="1" applyFont="1" applyFill="1" applyBorder="1"/>
    <xf numFmtId="0" fontId="33" fillId="2" borderId="1" xfId="3" applyFont="1" applyFill="1" applyBorder="1" applyAlignment="1">
      <alignment horizontal="center" wrapText="1"/>
    </xf>
    <xf numFmtId="0" fontId="34" fillId="2" borderId="1" xfId="2" applyNumberFormat="1" applyFont="1" applyFill="1" applyBorder="1" applyAlignment="1">
      <alignment horizontal="center" vertical="center"/>
    </xf>
    <xf numFmtId="43" fontId="34" fillId="2" borderId="1" xfId="1" applyFont="1" applyFill="1" applyBorder="1" applyAlignment="1">
      <alignment horizontal="center" vertical="center"/>
    </xf>
    <xf numFmtId="0" fontId="7" fillId="17" borderId="1" xfId="0" applyFont="1" applyFill="1" applyBorder="1" applyAlignment="1">
      <alignment horizontal="center" vertical="center"/>
    </xf>
    <xf numFmtId="0" fontId="7" fillId="17" borderId="1" xfId="0" applyFont="1" applyFill="1" applyBorder="1" applyAlignment="1">
      <alignment horizontal="center" vertical="center" wrapText="1"/>
    </xf>
    <xf numFmtId="43" fontId="7" fillId="17" borderId="1" xfId="1" applyFont="1" applyFill="1" applyBorder="1" applyAlignment="1">
      <alignment horizontal="center" vertical="center" wrapText="1"/>
    </xf>
    <xf numFmtId="0" fontId="0" fillId="2" borderId="1" xfId="0" applyFill="1" applyBorder="1" applyAlignment="1">
      <alignment horizontal="center"/>
    </xf>
    <xf numFmtId="0" fontId="0" fillId="0" borderId="1" xfId="1" applyNumberFormat="1" applyFont="1" applyBorder="1" applyAlignment="1">
      <alignment horizontal="center"/>
    </xf>
    <xf numFmtId="0" fontId="7" fillId="17" borderId="0" xfId="0" applyFont="1" applyFill="1" applyAlignment="1">
      <alignment vertical="center"/>
    </xf>
    <xf numFmtId="43" fontId="0" fillId="0" borderId="1" xfId="1" applyFont="1" applyBorder="1" applyAlignment="1">
      <alignment horizontal="center"/>
    </xf>
    <xf numFmtId="0" fontId="0" fillId="0" borderId="1" xfId="0" applyBorder="1" applyAlignment="1">
      <alignment horizontal="center" vertical="center" wrapText="1"/>
    </xf>
    <xf numFmtId="43" fontId="8" fillId="5" borderId="1" xfId="1"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23"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43" fontId="8" fillId="5" borderId="1" xfId="1" applyFont="1" applyFill="1" applyBorder="1" applyAlignment="1">
      <alignment horizontal="center" vertical="center"/>
    </xf>
    <xf numFmtId="0" fontId="18" fillId="0" borderId="1" xfId="0" applyFont="1" applyBorder="1" applyAlignment="1">
      <alignment horizontal="center"/>
    </xf>
    <xf numFmtId="0" fontId="17" fillId="0" borderId="1" xfId="3" applyFont="1" applyFill="1" applyBorder="1" applyAlignment="1">
      <alignment horizontal="center" wrapText="1"/>
    </xf>
    <xf numFmtId="43" fontId="0" fillId="0" borderId="1" xfId="1" applyFont="1" applyBorder="1" applyAlignment="1">
      <alignment horizontal="center" wrapText="1"/>
    </xf>
    <xf numFmtId="43" fontId="0" fillId="0" borderId="1" xfId="1" quotePrefix="1" applyFont="1" applyFill="1" applyBorder="1" applyAlignment="1">
      <alignment horizontal="center" vertical="center"/>
    </xf>
    <xf numFmtId="0" fontId="28" fillId="0" borderId="0" xfId="0" applyFont="1" applyAlignment="1">
      <alignment horizontal="center" vertical="center"/>
    </xf>
    <xf numFmtId="164" fontId="7" fillId="2" borderId="1" xfId="1" applyNumberFormat="1" applyFont="1" applyFill="1" applyBorder="1" applyAlignment="1">
      <alignment horizontal="center" vertical="center"/>
    </xf>
    <xf numFmtId="164" fontId="0" fillId="0" borderId="1" xfId="1" applyNumberFormat="1" applyFont="1" applyBorder="1" applyAlignment="1">
      <alignment horizontal="center" vertical="center"/>
    </xf>
    <xf numFmtId="0" fontId="7" fillId="2" borderId="1" xfId="1"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43" fontId="7" fillId="2" borderId="1" xfId="1" applyFont="1" applyFill="1" applyBorder="1" applyAlignment="1">
      <alignment horizontal="center"/>
    </xf>
    <xf numFmtId="43" fontId="8" fillId="5" borderId="1" xfId="1" applyFont="1" applyFill="1" applyBorder="1" applyAlignment="1">
      <alignment horizontal="center" vertical="center"/>
    </xf>
    <xf numFmtId="0" fontId="7" fillId="2" borderId="1" xfId="0" applyFont="1" applyFill="1" applyBorder="1" applyAlignment="1">
      <alignment horizontal="center" vertical="center"/>
    </xf>
    <xf numFmtId="43" fontId="2" fillId="0" borderId="1" xfId="1" applyFont="1" applyBorder="1" applyAlignment="1">
      <alignment horizontal="center" vertical="center"/>
    </xf>
    <xf numFmtId="164" fontId="0" fillId="0" borderId="1" xfId="1" applyNumberFormat="1" applyFont="1" applyBorder="1" applyAlignment="1">
      <alignment vertical="center"/>
    </xf>
    <xf numFmtId="43" fontId="0" fillId="0" borderId="1" xfId="1" applyFont="1" applyBorder="1" applyAlignment="1">
      <alignment vertical="center"/>
    </xf>
    <xf numFmtId="0" fontId="5" fillId="2" borderId="3" xfId="0" applyFont="1" applyFill="1" applyBorder="1" applyAlignment="1">
      <alignment horizontal="center" vertical="center"/>
    </xf>
    <xf numFmtId="0" fontId="5" fillId="2" borderId="3" xfId="1" applyNumberFormat="1" applyFont="1" applyFill="1" applyBorder="1" applyAlignment="1">
      <alignment horizontal="center"/>
    </xf>
    <xf numFmtId="43" fontId="5" fillId="2" borderId="3" xfId="1" applyFont="1" applyFill="1" applyBorder="1"/>
    <xf numFmtId="164" fontId="5" fillId="2" borderId="3" xfId="1" applyNumberFormat="1" applyFont="1" applyFill="1" applyBorder="1"/>
    <xf numFmtId="43" fontId="7" fillId="2" borderId="3" xfId="1" applyFont="1" applyFill="1" applyBorder="1"/>
    <xf numFmtId="1" fontId="0" fillId="0" borderId="1" xfId="0" applyNumberFormat="1" applyBorder="1" applyAlignment="1">
      <alignment horizontal="center"/>
    </xf>
    <xf numFmtId="43" fontId="0" fillId="0" borderId="1" xfId="0" applyNumberFormat="1" applyBorder="1"/>
    <xf numFmtId="0" fontId="9" fillId="0" borderId="1" xfId="0" applyFont="1" applyBorder="1" applyAlignment="1">
      <alignment horizontal="center" vertical="center"/>
    </xf>
    <xf numFmtId="43" fontId="0" fillId="0" borderId="1" xfId="0" applyNumberFormat="1" applyBorder="1" applyAlignment="1">
      <alignment vertical="center"/>
    </xf>
    <xf numFmtId="1"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43" fontId="8" fillId="5" borderId="1" xfId="1" applyFont="1" applyFill="1" applyBorder="1" applyAlignment="1">
      <alignment horizontal="center" vertical="center"/>
    </xf>
    <xf numFmtId="0" fontId="15" fillId="2" borderId="1" xfId="1" applyNumberFormat="1" applyFont="1" applyFill="1" applyBorder="1" applyAlignment="1">
      <alignment horizontal="center"/>
    </xf>
    <xf numFmtId="43" fontId="15" fillId="2" borderId="1" xfId="1" applyFont="1" applyFill="1" applyBorder="1"/>
    <xf numFmtId="0" fontId="7" fillId="17" borderId="1" xfId="0" applyNumberFormat="1" applyFont="1" applyFill="1" applyBorder="1" applyAlignment="1">
      <alignment horizontal="center" vertical="center" wrapText="1"/>
    </xf>
    <xf numFmtId="0" fontId="17" fillId="0" borderId="1" xfId="3" applyFont="1" applyFill="1" applyBorder="1" applyAlignment="1">
      <alignment horizontal="center" vertical="center" wrapText="1"/>
    </xf>
    <xf numFmtId="164" fontId="18" fillId="0" borderId="1" xfId="1" applyNumberFormat="1" applyFont="1" applyBorder="1" applyAlignment="1">
      <alignment vertical="center"/>
    </xf>
    <xf numFmtId="43" fontId="18" fillId="0" borderId="1" xfId="1" applyFont="1" applyBorder="1" applyAlignment="1">
      <alignment vertical="center"/>
    </xf>
    <xf numFmtId="43" fontId="36" fillId="5" borderId="9" xfId="1" applyFont="1" applyFill="1" applyBorder="1"/>
    <xf numFmtId="164" fontId="5" fillId="17"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7" fillId="2" borderId="1" xfId="0" applyFont="1" applyFill="1" applyBorder="1" applyAlignment="1">
      <alignment horizontal="center" vertical="center"/>
    </xf>
    <xf numFmtId="0" fontId="2" fillId="0" borderId="1" xfId="3" applyFont="1" applyFill="1" applyBorder="1" applyAlignment="1">
      <alignment horizontal="center" wrapText="1"/>
    </xf>
    <xf numFmtId="0" fontId="2" fillId="0" borderId="0" xfId="0" applyFont="1"/>
    <xf numFmtId="0" fontId="38" fillId="0" borderId="0" xfId="0" applyFont="1" applyAlignment="1">
      <alignment horizontal="center"/>
    </xf>
    <xf numFmtId="0" fontId="39" fillId="0" borderId="0" xfId="0" applyFont="1"/>
    <xf numFmtId="0" fontId="40" fillId="0" borderId="0" xfId="0" applyNumberFormat="1" applyFont="1"/>
    <xf numFmtId="0" fontId="40" fillId="0" borderId="0" xfId="0" applyFont="1"/>
    <xf numFmtId="0" fontId="40" fillId="0" borderId="0" xfId="0" applyNumberFormat="1" applyFont="1" applyAlignment="1">
      <alignment horizontal="center"/>
    </xf>
    <xf numFmtId="0" fontId="41" fillId="0" borderId="0" xfId="0" applyFont="1"/>
    <xf numFmtId="0" fontId="2" fillId="0" borderId="1" xfId="0" applyFont="1" applyBorder="1" applyAlignment="1">
      <alignment horizontal="center" vertical="center" wrapText="1"/>
    </xf>
    <xf numFmtId="43" fontId="2" fillId="0" borderId="1" xfId="1" applyFont="1" applyBorder="1" applyAlignment="1">
      <alignment horizontal="center" vertical="center" wrapText="1"/>
    </xf>
    <xf numFmtId="0" fontId="2" fillId="0" borderId="0" xfId="0" applyFont="1" applyAlignment="1">
      <alignment vertical="center"/>
    </xf>
    <xf numFmtId="0" fontId="41" fillId="2" borderId="1" xfId="0" applyFont="1" applyFill="1" applyBorder="1" applyAlignment="1">
      <alignment horizontal="center" vertical="center"/>
    </xf>
    <xf numFmtId="0" fontId="41" fillId="2" borderId="1" xfId="1" applyNumberFormat="1" applyFont="1" applyFill="1" applyBorder="1" applyAlignment="1">
      <alignment horizontal="center"/>
    </xf>
    <xf numFmtId="43" fontId="41" fillId="2" borderId="1" xfId="1" applyFont="1" applyFill="1" applyBorder="1"/>
    <xf numFmtId="43" fontId="41" fillId="2" borderId="3" xfId="1" applyFont="1" applyFill="1" applyBorder="1"/>
    <xf numFmtId="164" fontId="41" fillId="2" borderId="1" xfId="1" applyNumberFormat="1" applyFont="1" applyFill="1" applyBorder="1"/>
    <xf numFmtId="164" fontId="2" fillId="0" borderId="1" xfId="1" applyNumberFormat="1" applyFont="1" applyBorder="1"/>
    <xf numFmtId="43" fontId="2" fillId="0" borderId="1" xfId="1" applyFont="1" applyBorder="1"/>
    <xf numFmtId="0" fontId="8" fillId="0" borderId="1" xfId="0" applyFont="1" applyBorder="1" applyAlignment="1">
      <alignment horizontal="center"/>
    </xf>
    <xf numFmtId="43" fontId="2" fillId="0" borderId="1" xfId="0" applyNumberFormat="1" applyFont="1" applyBorder="1"/>
    <xf numFmtId="0" fontId="2" fillId="0" borderId="1" xfId="0" applyNumberFormat="1" applyFont="1" applyBorder="1" applyAlignment="1">
      <alignment horizontal="center" vertical="center" wrapText="1"/>
    </xf>
    <xf numFmtId="164" fontId="2" fillId="0" borderId="1" xfId="1" applyNumberFormat="1" applyFont="1" applyBorder="1" applyAlignment="1">
      <alignment horizontal="right" vertical="center" wrapText="1"/>
    </xf>
    <xf numFmtId="43" fontId="41" fillId="2" borderId="1" xfId="1" applyFont="1" applyFill="1" applyBorder="1" applyAlignment="1">
      <alignment horizontal="center"/>
    </xf>
    <xf numFmtId="0" fontId="2" fillId="0" borderId="1" xfId="0" applyFont="1" applyBorder="1" applyAlignment="1">
      <alignment horizontal="center" wrapText="1"/>
    </xf>
    <xf numFmtId="0" fontId="2" fillId="0" borderId="1" xfId="0" applyFont="1" applyBorder="1"/>
    <xf numFmtId="43" fontId="2" fillId="0" borderId="0" xfId="1" applyFont="1"/>
    <xf numFmtId="43" fontId="8" fillId="5" borderId="1" xfId="1" applyFont="1" applyFill="1" applyBorder="1" applyAlignment="1">
      <alignment horizontal="center" vertical="center"/>
    </xf>
    <xf numFmtId="0" fontId="2" fillId="0" borderId="1" xfId="3" applyFont="1" applyFill="1" applyBorder="1" applyAlignment="1">
      <alignment horizontal="center" wrapText="1"/>
    </xf>
    <xf numFmtId="43" fontId="8" fillId="0" borderId="0" xfId="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8" fillId="0" borderId="0" xfId="0" applyFont="1" applyAlignment="1">
      <alignment horizontal="center"/>
    </xf>
    <xf numFmtId="0" fontId="33" fillId="0" borderId="0" xfId="0" applyFont="1"/>
    <xf numFmtId="43" fontId="33" fillId="0" borderId="0" xfId="1" applyFont="1"/>
    <xf numFmtId="0" fontId="41" fillId="0" borderId="0" xfId="0" applyFont="1" applyFill="1"/>
    <xf numFmtId="0" fontId="41" fillId="0" borderId="1" xfId="0" quotePrefix="1" applyFont="1" applyFill="1" applyBorder="1" applyAlignment="1">
      <alignment horizontal="center" vertical="center"/>
    </xf>
    <xf numFmtId="43" fontId="41" fillId="0" borderId="2" xfId="1" quotePrefix="1" applyFont="1" applyFill="1" applyBorder="1" applyAlignment="1">
      <alignment horizontal="center" vertical="center"/>
    </xf>
    <xf numFmtId="1" fontId="2" fillId="0" borderId="1" xfId="0" applyNumberFormat="1" applyFont="1" applyBorder="1" applyAlignment="1">
      <alignment horizontal="center"/>
    </xf>
    <xf numFmtId="0" fontId="42" fillId="0" borderId="1" xfId="0" applyFont="1" applyBorder="1" applyAlignment="1">
      <alignment horizontal="center" vertical="center" wrapText="1"/>
    </xf>
    <xf numFmtId="43" fontId="2" fillId="0" borderId="0" xfId="0" applyNumberFormat="1" applyFont="1"/>
    <xf numFmtId="0" fontId="2" fillId="0" borderId="1" xfId="0" applyFont="1" applyBorder="1" applyAlignment="1">
      <alignment wrapText="1"/>
    </xf>
    <xf numFmtId="0" fontId="43" fillId="0" borderId="0" xfId="0" applyFont="1"/>
    <xf numFmtId="164" fontId="2" fillId="0" borderId="1" xfId="1" applyNumberFormat="1" applyFont="1" applyBorder="1" applyAlignment="1">
      <alignment vertical="center"/>
    </xf>
    <xf numFmtId="43" fontId="2" fillId="0" borderId="1" xfId="1" applyFont="1" applyBorder="1" applyAlignment="1">
      <alignment vertical="center"/>
    </xf>
    <xf numFmtId="0" fontId="8" fillId="0" borderId="1" xfId="0" applyFont="1" applyBorder="1" applyAlignment="1">
      <alignment horizontal="center" vertical="center"/>
    </xf>
    <xf numFmtId="0" fontId="2" fillId="0" borderId="0" xfId="0" applyFont="1" applyBorder="1" applyAlignment="1"/>
    <xf numFmtId="0" fontId="38" fillId="0" borderId="0" xfId="0" applyFont="1"/>
    <xf numFmtId="43" fontId="38" fillId="0" borderId="0" xfId="1" applyFont="1"/>
    <xf numFmtId="43" fontId="2" fillId="0" borderId="0" xfId="1" applyFont="1" applyFill="1" applyBorder="1" applyAlignment="1">
      <alignment horizontal="center" vertical="center" wrapText="1"/>
    </xf>
    <xf numFmtId="0" fontId="2" fillId="0" borderId="0" xfId="0" applyFont="1" applyBorder="1" applyAlignment="1">
      <alignment horizontal="center" vertical="center" wrapText="1"/>
    </xf>
    <xf numFmtId="43" fontId="2" fillId="0" borderId="0" xfId="1" applyFont="1" applyBorder="1" applyAlignment="1">
      <alignment horizontal="center" vertical="center" wrapText="1"/>
    </xf>
    <xf numFmtId="0" fontId="2" fillId="0" borderId="0" xfId="0" quotePrefix="1" applyFont="1" applyFill="1" applyBorder="1" applyAlignment="1">
      <alignment horizontal="center" vertical="center"/>
    </xf>
    <xf numFmtId="43" fontId="2" fillId="0" borderId="0" xfId="1" quotePrefix="1" applyFont="1" applyFill="1" applyBorder="1" applyAlignment="1">
      <alignment horizontal="center" vertical="center"/>
    </xf>
    <xf numFmtId="0" fontId="2" fillId="0" borderId="0" xfId="0" applyNumberFormat="1" applyFont="1" applyBorder="1" applyAlignment="1">
      <alignment horizontal="center" vertical="center" wrapText="1"/>
    </xf>
    <xf numFmtId="164" fontId="2" fillId="0" borderId="0" xfId="1" applyNumberFormat="1" applyFont="1" applyBorder="1" applyAlignment="1">
      <alignment horizontal="right" vertical="center" wrapText="1"/>
    </xf>
    <xf numFmtId="164" fontId="2" fillId="0" borderId="0" xfId="1" applyNumberFormat="1" applyFont="1" applyBorder="1"/>
    <xf numFmtId="43" fontId="2" fillId="0" borderId="0" xfId="1" applyFont="1" applyBorder="1"/>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0" fontId="38" fillId="0" borderId="0" xfId="0" applyFont="1" applyAlignment="1">
      <alignment horizontal="center"/>
    </xf>
    <xf numFmtId="0" fontId="2" fillId="0" borderId="1" xfId="0" applyFont="1" applyBorder="1" applyAlignment="1">
      <alignment horizontal="center"/>
    </xf>
    <xf numFmtId="43" fontId="8" fillId="0" borderId="0" xfId="1" applyFont="1" applyFill="1"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right" vertical="center" wrapText="1"/>
    </xf>
    <xf numFmtId="43" fontId="2" fillId="0" borderId="1" xfId="1" applyFont="1" applyBorder="1" applyAlignment="1">
      <alignment horizontal="right" vertical="center" wrapText="1"/>
    </xf>
    <xf numFmtId="0" fontId="2" fillId="0" borderId="2" xfId="0" applyFont="1" applyBorder="1" applyAlignment="1">
      <alignment horizontal="center" vertical="center" wrapText="1"/>
    </xf>
    <xf numFmtId="43" fontId="8" fillId="5" borderId="2" xfId="1" applyFont="1" applyFill="1" applyBorder="1" applyAlignment="1">
      <alignment horizontal="right" vertical="center"/>
    </xf>
    <xf numFmtId="0" fontId="2" fillId="0" borderId="1" xfId="0" applyFont="1" applyBorder="1" applyAlignment="1">
      <alignment horizontal="right" wrapText="1"/>
    </xf>
    <xf numFmtId="0" fontId="2" fillId="0" borderId="1" xfId="0" applyFont="1" applyFill="1" applyBorder="1" applyAlignment="1">
      <alignment horizontal="right" wrapText="1"/>
    </xf>
    <xf numFmtId="0" fontId="2" fillId="0" borderId="1" xfId="0" applyFont="1" applyFill="1" applyBorder="1" applyAlignment="1">
      <alignment horizontal="right" vertical="center" wrapText="1"/>
    </xf>
    <xf numFmtId="164" fontId="2" fillId="0" borderId="1" xfId="1" applyNumberFormat="1" applyFont="1" applyFill="1" applyBorder="1" applyAlignment="1">
      <alignment horizontal="right" vertical="center" wrapText="1"/>
    </xf>
    <xf numFmtId="43" fontId="2" fillId="0" borderId="1" xfId="1" applyFont="1" applyFill="1" applyBorder="1" applyAlignment="1">
      <alignment horizontal="right" wrapText="1"/>
    </xf>
    <xf numFmtId="0" fontId="2" fillId="0" borderId="1" xfId="0" applyFont="1" applyBorder="1" applyAlignment="1">
      <alignment horizontal="right" vertical="center"/>
    </xf>
    <xf numFmtId="164" fontId="44" fillId="5" borderId="1" xfId="1" applyNumberFormat="1" applyFont="1" applyFill="1" applyBorder="1" applyAlignment="1">
      <alignment horizontal="right" wrapText="1"/>
    </xf>
    <xf numFmtId="43" fontId="44" fillId="5" borderId="1" xfId="1" applyFont="1" applyFill="1" applyBorder="1" applyAlignment="1">
      <alignment horizontal="right" wrapText="1"/>
    </xf>
    <xf numFmtId="164" fontId="44" fillId="5" borderId="1" xfId="5" applyNumberFormat="1" applyFont="1" applyFill="1" applyBorder="1" applyAlignment="1">
      <alignment horizontal="right" wrapText="1"/>
    </xf>
    <xf numFmtId="1" fontId="0" fillId="0" borderId="24" xfId="0" applyNumberFormat="1" applyBorder="1" applyAlignment="1">
      <alignment horizontal="center" vertical="center"/>
    </xf>
    <xf numFmtId="1" fontId="0" fillId="0" borderId="6" xfId="0" applyNumberFormat="1" applyBorder="1" applyAlignment="1">
      <alignment horizontal="center" vertical="center"/>
    </xf>
    <xf numFmtId="4" fontId="0" fillId="0" borderId="26" xfId="0" applyNumberFormat="1" applyBorder="1" applyAlignment="1">
      <alignment horizontal="center" vertical="center"/>
    </xf>
    <xf numFmtId="1" fontId="0" fillId="0" borderId="19" xfId="0" applyNumberFormat="1" applyBorder="1" applyAlignment="1">
      <alignment horizontal="center" vertical="center"/>
    </xf>
    <xf numFmtId="4" fontId="0" fillId="0" borderId="27" xfId="0" applyNumberFormat="1" applyBorder="1" applyAlignment="1">
      <alignment horizontal="center" vertical="center"/>
    </xf>
    <xf numFmtId="0" fontId="45" fillId="0" borderId="9" xfId="0" applyFont="1" applyBorder="1" applyAlignment="1">
      <alignment horizontal="center" vertical="center"/>
    </xf>
    <xf numFmtId="39" fontId="45" fillId="0" borderId="26" xfId="1" applyNumberFormat="1" applyFont="1" applyBorder="1" applyAlignment="1">
      <alignment horizontal="center" vertical="center"/>
    </xf>
    <xf numFmtId="1" fontId="9" fillId="0" borderId="6" xfId="0" applyNumberFormat="1" applyFont="1" applyFill="1" applyBorder="1" applyAlignment="1">
      <alignment horizontal="center" vertical="center"/>
    </xf>
    <xf numFmtId="1" fontId="0" fillId="0" borderId="6" xfId="0" applyNumberFormat="1" applyFill="1" applyBorder="1" applyAlignment="1">
      <alignment horizontal="center" vertical="center"/>
    </xf>
    <xf numFmtId="1" fontId="0" fillId="0" borderId="19" xfId="0" applyNumberFormat="1" applyFill="1" applyBorder="1" applyAlignment="1">
      <alignment horizontal="center" vertical="center"/>
    </xf>
    <xf numFmtId="0" fontId="2" fillId="0" borderId="1" xfId="0" applyFont="1" applyBorder="1" applyAlignment="1">
      <alignment horizontal="center"/>
    </xf>
    <xf numFmtId="164" fontId="44" fillId="5" borderId="1" xfId="1" applyNumberFormat="1" applyFont="1" applyFill="1" applyBorder="1" applyAlignment="1">
      <alignment horizontal="center" wrapText="1"/>
    </xf>
    <xf numFmtId="43" fontId="23" fillId="0" borderId="0" xfId="1" applyFont="1" applyAlignment="1">
      <alignment horizontal="center"/>
    </xf>
    <xf numFmtId="164" fontId="35" fillId="5" borderId="9" xfId="1" applyNumberFormat="1" applyFont="1" applyFill="1" applyBorder="1"/>
    <xf numFmtId="43" fontId="35" fillId="0" borderId="9" xfId="1" applyFont="1" applyBorder="1"/>
    <xf numFmtId="164" fontId="35" fillId="0" borderId="9" xfId="1" applyNumberFormat="1" applyFont="1" applyBorder="1" applyAlignment="1">
      <alignment vertical="center"/>
    </xf>
    <xf numFmtId="164" fontId="2" fillId="0" borderId="1" xfId="1" applyNumberFormat="1" applyFont="1" applyBorder="1" applyAlignment="1">
      <alignment horizontal="right" vertical="center"/>
    </xf>
    <xf numFmtId="3" fontId="60" fillId="0" borderId="0" xfId="1" applyNumberFormat="1" applyFont="1" applyAlignment="1">
      <alignment horizontal="center"/>
    </xf>
    <xf numFmtId="164" fontId="60" fillId="0" borderId="0" xfId="0" applyNumberFormat="1" applyFont="1"/>
    <xf numFmtId="164" fontId="37" fillId="0" borderId="9" xfId="1" applyNumberFormat="1" applyFont="1" applyBorder="1"/>
    <xf numFmtId="164" fontId="9" fillId="0" borderId="9" xfId="1" applyNumberFormat="1" applyFont="1" applyBorder="1"/>
    <xf numFmtId="43" fontId="60" fillId="0" borderId="0" xfId="1" applyFont="1" applyAlignment="1">
      <alignment horizontal="center"/>
    </xf>
    <xf numFmtId="0" fontId="60" fillId="0" borderId="0" xfId="0" applyFont="1" applyAlignment="1">
      <alignment horizontal="center"/>
    </xf>
    <xf numFmtId="164" fontId="36" fillId="5" borderId="9" xfId="1" applyNumberFormat="1" applyFont="1" applyFill="1" applyBorder="1"/>
    <xf numFmtId="0" fontId="60" fillId="0" borderId="0" xfId="0" applyFont="1"/>
    <xf numFmtId="43" fontId="37" fillId="0" borderId="9" xfId="1" applyFont="1" applyBorder="1"/>
    <xf numFmtId="0" fontId="60" fillId="0" borderId="0" xfId="0" applyFont="1" applyBorder="1"/>
    <xf numFmtId="164" fontId="35" fillId="0" borderId="9" xfId="1" applyNumberFormat="1" applyFont="1" applyBorder="1"/>
    <xf numFmtId="43" fontId="60" fillId="0" borderId="0" xfId="1" applyFont="1" applyBorder="1"/>
    <xf numFmtId="0" fontId="60" fillId="0" borderId="0" xfId="0" applyFont="1" applyBorder="1" applyAlignment="1">
      <alignment horizontal="center" vertical="center" wrapText="1"/>
    </xf>
    <xf numFmtId="0" fontId="62" fillId="0" borderId="0" xfId="0" applyFont="1"/>
    <xf numFmtId="43" fontId="60" fillId="0" borderId="0" xfId="1" applyFont="1"/>
    <xf numFmtId="164" fontId="36" fillId="0" borderId="9" xfId="1" applyNumberFormat="1" applyFont="1" applyBorder="1"/>
    <xf numFmtId="0" fontId="60" fillId="0" borderId="0" xfId="0" applyFont="1" applyBorder="1" applyAlignment="1">
      <alignment horizontal="center"/>
    </xf>
    <xf numFmtId="43" fontId="60" fillId="0" borderId="0" xfId="1" applyFont="1" applyBorder="1" applyAlignment="1">
      <alignment horizontal="center" vertical="center" wrapText="1"/>
    </xf>
    <xf numFmtId="43" fontId="36" fillId="0" borderId="9" xfId="1" applyFont="1" applyBorder="1"/>
    <xf numFmtId="43" fontId="60" fillId="0" borderId="0" xfId="1" applyFont="1" applyBorder="1" applyAlignment="1">
      <alignment horizontal="center"/>
    </xf>
    <xf numFmtId="0" fontId="60" fillId="0" borderId="0" xfId="0" applyFont="1" applyAlignment="1">
      <alignment vertical="center"/>
    </xf>
    <xf numFmtId="0" fontId="60" fillId="0" borderId="35" xfId="0" applyFont="1" applyBorder="1" applyAlignment="1">
      <alignment horizontal="center" vertical="center" wrapText="1"/>
    </xf>
    <xf numFmtId="43" fontId="60" fillId="0" borderId="35" xfId="1" applyFont="1" applyBorder="1" applyAlignment="1">
      <alignment horizontal="center" vertical="center"/>
    </xf>
    <xf numFmtId="43" fontId="60" fillId="0" borderId="35" xfId="1" applyFont="1" applyBorder="1" applyAlignment="1">
      <alignment horizontal="center" vertical="center" wrapText="1"/>
    </xf>
    <xf numFmtId="0" fontId="62" fillId="2" borderId="35" xfId="0" applyFont="1" applyFill="1" applyBorder="1" applyAlignment="1">
      <alignment horizontal="center" vertical="center"/>
    </xf>
    <xf numFmtId="0" fontId="62" fillId="2" borderId="35" xfId="1" applyNumberFormat="1" applyFont="1" applyFill="1" applyBorder="1" applyAlignment="1">
      <alignment horizontal="center"/>
    </xf>
    <xf numFmtId="43" fontId="62" fillId="2" borderId="35" xfId="1" applyFont="1" applyFill="1" applyBorder="1"/>
    <xf numFmtId="164" fontId="62" fillId="2" borderId="35" xfId="1" applyNumberFormat="1" applyFont="1" applyFill="1" applyBorder="1" applyAlignment="1">
      <alignment horizontal="center"/>
    </xf>
    <xf numFmtId="0" fontId="63" fillId="5" borderId="35" xfId="2" applyNumberFormat="1" applyFont="1" applyFill="1" applyBorder="1" applyAlignment="1">
      <alignment horizontal="center" vertical="center"/>
    </xf>
    <xf numFmtId="43" fontId="63" fillId="5" borderId="35" xfId="1" applyFont="1" applyFill="1" applyBorder="1" applyAlignment="1">
      <alignment horizontal="center" vertical="center"/>
    </xf>
    <xf numFmtId="43" fontId="62" fillId="2" borderId="35" xfId="1" applyFont="1" applyFill="1" applyBorder="1" applyAlignment="1">
      <alignment horizontal="center"/>
    </xf>
    <xf numFmtId="43" fontId="63" fillId="5" borderId="35" xfId="1" applyFont="1" applyFill="1" applyBorder="1" applyAlignment="1">
      <alignment horizontal="right" vertical="center"/>
    </xf>
    <xf numFmtId="0" fontId="60" fillId="0" borderId="35" xfId="0" applyFont="1" applyBorder="1" applyAlignment="1">
      <alignment horizontal="center"/>
    </xf>
    <xf numFmtId="43" fontId="60" fillId="0" borderId="35" xfId="1" applyFont="1" applyBorder="1" applyAlignment="1">
      <alignment horizontal="center"/>
    </xf>
    <xf numFmtId="43" fontId="60" fillId="0" borderId="35" xfId="0" applyNumberFormat="1" applyFont="1" applyBorder="1" applyAlignment="1">
      <alignment horizontal="center" vertical="center" wrapText="1"/>
    </xf>
    <xf numFmtId="164" fontId="60" fillId="0" borderId="35" xfId="0" applyNumberFormat="1" applyFont="1" applyBorder="1" applyAlignment="1">
      <alignment vertical="center" wrapText="1"/>
    </xf>
    <xf numFmtId="43" fontId="60" fillId="0" borderId="35" xfId="1" applyFont="1" applyBorder="1"/>
    <xf numFmtId="0" fontId="0" fillId="0" borderId="0" xfId="0" applyAlignment="1">
      <alignment horizontal="center"/>
    </xf>
    <xf numFmtId="0" fontId="7" fillId="2" borderId="1" xfId="0" applyFont="1" applyFill="1" applyBorder="1" applyAlignment="1">
      <alignment horizontal="center" vertical="center"/>
    </xf>
    <xf numFmtId="43" fontId="7" fillId="2" borderId="1" xfId="1" applyFont="1" applyFill="1" applyBorder="1" applyAlignment="1">
      <alignment horizontal="center"/>
    </xf>
    <xf numFmtId="0" fontId="0" fillId="0" borderId="0" xfId="0" applyAlignment="1">
      <alignment horizontal="center"/>
    </xf>
    <xf numFmtId="0" fontId="7" fillId="2" borderId="1" xfId="0" applyFont="1" applyFill="1" applyBorder="1" applyAlignment="1">
      <alignment horizontal="center" vertical="center"/>
    </xf>
    <xf numFmtId="43" fontId="7" fillId="2" borderId="1" xfId="1" applyFont="1" applyFill="1" applyBorder="1" applyAlignment="1">
      <alignment horizontal="center"/>
    </xf>
    <xf numFmtId="0" fontId="7" fillId="48" borderId="1" xfId="0" applyFont="1" applyFill="1" applyBorder="1" applyAlignment="1">
      <alignment horizontal="center" vertical="center" wrapText="1"/>
    </xf>
    <xf numFmtId="0" fontId="7" fillId="48" borderId="1" xfId="0" applyFont="1" applyFill="1" applyBorder="1" applyAlignment="1">
      <alignment horizontal="center" vertical="center"/>
    </xf>
    <xf numFmtId="0" fontId="7" fillId="48" borderId="1" xfId="0" applyFont="1" applyFill="1" applyBorder="1" applyAlignment="1">
      <alignment horizontal="center"/>
    </xf>
    <xf numFmtId="0" fontId="7" fillId="2" borderId="1" xfId="0" applyNumberFormat="1" applyFont="1" applyFill="1" applyBorder="1" applyAlignment="1">
      <alignment horizontal="center"/>
    </xf>
    <xf numFmtId="43" fontId="7" fillId="2" borderId="1" xfId="0" applyNumberFormat="1" applyFont="1" applyFill="1" applyBorder="1" applyAlignment="1">
      <alignment horizontal="center"/>
    </xf>
    <xf numFmtId="0" fontId="7" fillId="49" borderId="1" xfId="0" applyFont="1" applyFill="1" applyBorder="1" applyAlignment="1">
      <alignment horizontal="left"/>
    </xf>
    <xf numFmtId="0" fontId="7" fillId="49" borderId="1" xfId="1" applyNumberFormat="1" applyFont="1" applyFill="1" applyBorder="1" applyAlignment="1">
      <alignment horizontal="center"/>
    </xf>
    <xf numFmtId="43" fontId="7" fillId="49" borderId="1" xfId="1" applyFont="1" applyFill="1" applyBorder="1" applyAlignment="1">
      <alignment horizontal="center"/>
    </xf>
    <xf numFmtId="0" fontId="0" fillId="49" borderId="1" xfId="0" applyFill="1" applyBorder="1" applyAlignment="1">
      <alignment horizontal="left"/>
    </xf>
    <xf numFmtId="0" fontId="0" fillId="49" borderId="1" xfId="1" applyNumberFormat="1" applyFont="1" applyFill="1" applyBorder="1" applyAlignment="1">
      <alignment horizontal="center"/>
    </xf>
    <xf numFmtId="43" fontId="0" fillId="49" borderId="1" xfId="1" applyFont="1" applyFill="1" applyBorder="1" applyAlignment="1">
      <alignment horizontal="center"/>
    </xf>
    <xf numFmtId="0" fontId="0" fillId="0" borderId="1" xfId="0" applyBorder="1" applyAlignment="1">
      <alignment horizontal="left" indent="2"/>
    </xf>
    <xf numFmtId="0" fontId="7" fillId="48" borderId="6" xfId="0" applyFont="1" applyFill="1" applyBorder="1" applyAlignment="1">
      <alignment horizontal="center" vertical="center" wrapText="1"/>
    </xf>
    <xf numFmtId="0" fontId="7" fillId="48" borderId="6" xfId="0" applyFont="1" applyFill="1" applyBorder="1" applyAlignment="1">
      <alignment horizontal="center" vertical="center"/>
    </xf>
    <xf numFmtId="43" fontId="7" fillId="48" borderId="1" xfId="1" applyFont="1" applyFill="1" applyBorder="1" applyAlignment="1">
      <alignment horizontal="center" vertical="center"/>
    </xf>
    <xf numFmtId="43" fontId="7" fillId="48" borderId="1" xfId="1" applyFont="1" applyFill="1" applyBorder="1" applyAlignment="1">
      <alignment horizontal="center"/>
    </xf>
    <xf numFmtId="43" fontId="1" fillId="0" borderId="1" xfId="1" applyFont="1" applyFill="1" applyBorder="1" applyAlignment="1">
      <alignment horizontal="center"/>
    </xf>
    <xf numFmtId="0" fontId="0" fillId="5" borderId="3" xfId="0" applyFont="1" applyFill="1" applyBorder="1" applyAlignment="1">
      <alignment horizontal="center" vertical="top" wrapText="1"/>
    </xf>
    <xf numFmtId="0" fontId="0" fillId="5" borderId="4" xfId="0" applyFont="1" applyFill="1" applyBorder="1" applyAlignment="1">
      <alignment horizontal="center" vertical="top" wrapText="1"/>
    </xf>
    <xf numFmtId="0" fontId="0" fillId="5" borderId="2" xfId="0" applyFont="1" applyFill="1" applyBorder="1" applyAlignment="1">
      <alignment horizontal="center" vertical="top" wrapText="1"/>
    </xf>
    <xf numFmtId="0" fontId="16" fillId="0" borderId="3" xfId="0" applyFont="1" applyFill="1" applyBorder="1" applyAlignment="1">
      <alignment horizontal="center" vertical="top" wrapText="1" readingOrder="1"/>
    </xf>
    <xf numFmtId="0" fontId="16" fillId="0" borderId="4" xfId="0" applyFont="1" applyFill="1" applyBorder="1" applyAlignment="1">
      <alignment horizontal="center" vertical="top" wrapText="1" readingOrder="1"/>
    </xf>
    <xf numFmtId="0" fontId="16" fillId="0" borderId="2" xfId="0" applyFont="1" applyFill="1" applyBorder="1" applyAlignment="1">
      <alignment horizontal="center" vertical="top" wrapText="1" readingOrder="1"/>
    </xf>
    <xf numFmtId="0" fontId="0" fillId="5" borderId="3" xfId="0" applyFont="1" applyFill="1" applyBorder="1" applyAlignment="1">
      <alignment horizontal="center" vertical="top"/>
    </xf>
    <xf numFmtId="0" fontId="0" fillId="5" borderId="4" xfId="0" applyFont="1" applyFill="1" applyBorder="1" applyAlignment="1">
      <alignment horizontal="center" vertical="top"/>
    </xf>
    <xf numFmtId="0" fontId="0" fillId="5" borderId="2" xfId="0" applyFont="1" applyFill="1" applyBorder="1" applyAlignment="1">
      <alignment horizontal="center" vertical="top"/>
    </xf>
    <xf numFmtId="0" fontId="9" fillId="5" borderId="3"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4" xfId="0" applyFont="1" applyFill="1" applyBorder="1" applyAlignment="1">
      <alignment horizontal="center" vertical="top" wrapText="1"/>
    </xf>
    <xf numFmtId="0" fontId="7" fillId="5" borderId="2" xfId="0" applyFont="1" applyFill="1" applyBorder="1" applyAlignment="1">
      <alignment horizontal="center" vertical="top" wrapText="1"/>
    </xf>
    <xf numFmtId="0" fontId="0" fillId="0" borderId="0" xfId="0" applyFont="1" applyAlignment="1">
      <alignment horizontal="center"/>
    </xf>
    <xf numFmtId="0" fontId="5" fillId="0" borderId="0" xfId="0" applyFont="1" applyAlignment="1">
      <alignment horizontal="center"/>
    </xf>
    <xf numFmtId="0" fontId="0"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6"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0" xfId="0" applyAlignment="1">
      <alignment horizontal="center"/>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0" fillId="4" borderId="9" xfId="0" applyFill="1" applyBorder="1" applyAlignment="1">
      <alignment horizontal="center" vertical="center"/>
    </xf>
    <xf numFmtId="0" fontId="0" fillId="4" borderId="6" xfId="0" applyFill="1" applyBorder="1" applyAlignment="1">
      <alignment horizontal="center" vertical="center"/>
    </xf>
    <xf numFmtId="0" fontId="21" fillId="0" borderId="0" xfId="0" applyFont="1" applyAlignment="1">
      <alignment horizont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readingOrder="1"/>
    </xf>
    <xf numFmtId="0" fontId="10" fillId="0" borderId="4" xfId="0" applyFont="1" applyFill="1" applyBorder="1" applyAlignment="1">
      <alignment horizontal="center" vertical="center" wrapText="1" readingOrder="1"/>
    </xf>
    <xf numFmtId="0" fontId="10" fillId="0" borderId="2" xfId="0" applyFont="1" applyFill="1" applyBorder="1" applyAlignment="1">
      <alignment horizontal="center" vertical="center" wrapText="1" readingOrder="1"/>
    </xf>
    <xf numFmtId="0" fontId="9" fillId="0" borderId="10" xfId="0" applyFont="1" applyFill="1" applyBorder="1" applyAlignment="1">
      <alignment horizontal="center" vertical="top" wrapText="1"/>
    </xf>
    <xf numFmtId="0" fontId="7" fillId="48" borderId="1" xfId="0" applyFont="1" applyFill="1" applyBorder="1" applyAlignment="1">
      <alignment horizontal="center" vertical="center"/>
    </xf>
    <xf numFmtId="0" fontId="7" fillId="48" borderId="9" xfId="0" applyFont="1" applyFill="1" applyBorder="1" applyAlignment="1">
      <alignment horizontal="center" vertical="center" wrapText="1"/>
    </xf>
    <xf numFmtId="0" fontId="7" fillId="48" borderId="23" xfId="0" applyFont="1" applyFill="1" applyBorder="1" applyAlignment="1">
      <alignment horizontal="center" vertical="center" wrapText="1"/>
    </xf>
    <xf numFmtId="0" fontId="7" fillId="48" borderId="9" xfId="0" applyFont="1" applyFill="1" applyBorder="1" applyAlignment="1">
      <alignment horizontal="center" vertical="center"/>
    </xf>
    <xf numFmtId="0" fontId="7" fillId="48" borderId="6" xfId="0" applyFont="1" applyFill="1" applyBorder="1" applyAlignment="1">
      <alignment horizontal="center" vertical="center"/>
    </xf>
    <xf numFmtId="0" fontId="7" fillId="48" borderId="6" xfId="0" applyFont="1" applyFill="1" applyBorder="1" applyAlignment="1">
      <alignment horizontal="center" vertical="center" wrapText="1"/>
    </xf>
    <xf numFmtId="0" fontId="7" fillId="48" borderId="23" xfId="0" applyFont="1" applyFill="1" applyBorder="1" applyAlignment="1">
      <alignment horizontal="center" vertical="center"/>
    </xf>
    <xf numFmtId="0" fontId="7" fillId="48" borderId="1" xfId="0" applyFont="1" applyFill="1" applyBorder="1" applyAlignment="1">
      <alignment horizontal="center" vertical="center" wrapText="1"/>
    </xf>
    <xf numFmtId="43" fontId="63" fillId="5" borderId="35" xfId="1" applyFont="1" applyFill="1" applyBorder="1" applyAlignment="1">
      <alignment horizontal="center" vertical="center"/>
    </xf>
    <xf numFmtId="0" fontId="60" fillId="0" borderId="35" xfId="0" applyFont="1" applyBorder="1" applyAlignment="1">
      <alignment horizontal="center" vertical="center"/>
    </xf>
    <xf numFmtId="0" fontId="62" fillId="0" borderId="35" xfId="0" applyFont="1" applyFill="1" applyBorder="1" applyAlignment="1">
      <alignment horizontal="center" vertical="center" wrapText="1"/>
    </xf>
    <xf numFmtId="43" fontId="62" fillId="2" borderId="35" xfId="1" applyFont="1" applyFill="1" applyBorder="1" applyAlignment="1">
      <alignment horizontal="center"/>
    </xf>
    <xf numFmtId="0" fontId="60" fillId="0" borderId="0" xfId="0" applyFont="1" applyAlignment="1">
      <alignment horizontal="center"/>
    </xf>
    <xf numFmtId="0" fontId="61" fillId="0" borderId="0" xfId="0" applyFont="1" applyAlignment="1">
      <alignment horizontal="center" vertical="center"/>
    </xf>
    <xf numFmtId="0" fontId="60" fillId="0" borderId="35" xfId="0" applyFont="1" applyBorder="1" applyAlignment="1">
      <alignment horizontal="center" vertical="center" wrapText="1"/>
    </xf>
    <xf numFmtId="0" fontId="62" fillId="0" borderId="35"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center" vertical="center" wrapText="1"/>
    </xf>
    <xf numFmtId="43" fontId="8" fillId="5" borderId="9" xfId="1" applyFont="1" applyFill="1" applyBorder="1" applyAlignment="1">
      <alignment horizontal="center" vertical="center"/>
    </xf>
    <xf numFmtId="43" fontId="8" fillId="5" borderId="6" xfId="1" applyFont="1" applyFill="1" applyBorder="1" applyAlignment="1">
      <alignment horizontal="center" vertical="center"/>
    </xf>
    <xf numFmtId="43" fontId="7" fillId="2" borderId="9" xfId="1" applyFont="1" applyFill="1" applyBorder="1" applyAlignment="1">
      <alignment horizontal="center"/>
    </xf>
    <xf numFmtId="43" fontId="7" fillId="2" borderId="6" xfId="1" applyFont="1" applyFill="1" applyBorder="1" applyAlignment="1">
      <alignment horizontal="center"/>
    </xf>
    <xf numFmtId="0" fontId="0" fillId="0" borderId="1" xfId="0"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center" vertical="center"/>
    </xf>
    <xf numFmtId="0" fontId="7" fillId="0" borderId="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6" xfId="0" applyFont="1" applyBorder="1" applyAlignment="1">
      <alignment horizontal="center" vertical="center" wrapText="1"/>
    </xf>
    <xf numFmtId="0" fontId="9" fillId="0" borderId="20" xfId="0" applyFont="1" applyFill="1" applyBorder="1" applyAlignment="1">
      <alignment horizontal="center" vertical="top" wrapText="1"/>
    </xf>
    <xf numFmtId="0" fontId="9" fillId="0" borderId="22" xfId="0" applyFont="1" applyFill="1" applyBorder="1" applyAlignment="1">
      <alignment horizontal="center" vertical="top" wrapText="1"/>
    </xf>
    <xf numFmtId="0" fontId="0" fillId="0" borderId="4" xfId="0" applyBorder="1" applyAlignment="1">
      <alignment horizontal="center" vertical="top" wrapText="1"/>
    </xf>
    <xf numFmtId="0" fontId="0" fillId="4" borderId="9" xfId="0" applyFill="1" applyBorder="1" applyAlignment="1">
      <alignment horizontal="center" vertical="center" wrapText="1"/>
    </xf>
    <xf numFmtId="0" fontId="0" fillId="4" borderId="6" xfId="0" applyFill="1" applyBorder="1" applyAlignment="1">
      <alignment horizontal="center" vertical="center" wrapText="1"/>
    </xf>
    <xf numFmtId="0" fontId="0" fillId="0" borderId="2" xfId="0" applyFill="1" applyBorder="1" applyAlignment="1">
      <alignment horizontal="center" vertical="top" wrapText="1"/>
    </xf>
    <xf numFmtId="0" fontId="0" fillId="4" borderId="4" xfId="0" applyFill="1" applyBorder="1" applyAlignment="1">
      <alignment horizontal="center" vertical="center"/>
    </xf>
    <xf numFmtId="0" fontId="10" fillId="0" borderId="3" xfId="0" applyFont="1" applyFill="1" applyBorder="1" applyAlignment="1">
      <alignment horizontal="center" vertical="top" wrapText="1" readingOrder="1"/>
    </xf>
    <xf numFmtId="0" fontId="10" fillId="0" borderId="4" xfId="0" applyFont="1" applyFill="1" applyBorder="1" applyAlignment="1">
      <alignment horizontal="center" vertical="top" wrapText="1" readingOrder="1"/>
    </xf>
    <xf numFmtId="0" fontId="0" fillId="4" borderId="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2" xfId="0" applyFill="1" applyBorder="1" applyAlignment="1">
      <alignment horizontal="center" vertical="center"/>
    </xf>
    <xf numFmtId="43" fontId="32" fillId="17" borderId="9" xfId="1" applyFont="1" applyFill="1" applyBorder="1" applyAlignment="1">
      <alignment horizontal="center" vertical="center"/>
    </xf>
    <xf numFmtId="43" fontId="32" fillId="17" borderId="6" xfId="1" applyFont="1" applyFill="1" applyBorder="1" applyAlignment="1">
      <alignment horizontal="center" vertical="center"/>
    </xf>
    <xf numFmtId="43" fontId="32" fillId="17" borderId="9" xfId="1" applyNumberFormat="1" applyFont="1" applyFill="1" applyBorder="1" applyAlignment="1">
      <alignment horizontal="center" vertical="center"/>
    </xf>
    <xf numFmtId="43" fontId="32" fillId="17" borderId="6" xfId="1" applyNumberFormat="1" applyFont="1" applyFill="1" applyBorder="1" applyAlignment="1">
      <alignment horizontal="center" vertical="center"/>
    </xf>
    <xf numFmtId="0" fontId="41" fillId="0" borderId="9"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43" fontId="41" fillId="2" borderId="9" xfId="1" applyFont="1" applyFill="1" applyBorder="1" applyAlignment="1">
      <alignment horizontal="center"/>
    </xf>
    <xf numFmtId="43" fontId="41" fillId="2" borderId="6" xfId="1" applyFont="1" applyFill="1" applyBorder="1" applyAlignment="1">
      <alignment horizontal="center"/>
    </xf>
    <xf numFmtId="0" fontId="2" fillId="0" borderId="0" xfId="0" applyFont="1" applyAlignment="1">
      <alignment horizontal="center"/>
    </xf>
    <xf numFmtId="0" fontId="38" fillId="0" borderId="0" xfId="0" applyFont="1" applyAlignment="1">
      <alignment horizontal="center"/>
    </xf>
    <xf numFmtId="0" fontId="2" fillId="0" borderId="1" xfId="0" applyFont="1" applyBorder="1" applyAlignment="1">
      <alignment horizontal="center" vertical="center"/>
    </xf>
    <xf numFmtId="0" fontId="41" fillId="0" borderId="9"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6" xfId="0" applyFont="1" applyBorder="1" applyAlignment="1">
      <alignment horizontal="center" vertical="center" wrapText="1"/>
    </xf>
    <xf numFmtId="43" fontId="8" fillId="5" borderId="0" xfId="1" applyFont="1" applyFill="1" applyBorder="1" applyAlignment="1">
      <alignment horizontal="center" vertical="center"/>
    </xf>
    <xf numFmtId="43" fontId="41" fillId="0" borderId="0" xfId="1" applyFont="1" applyFill="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xf>
    <xf numFmtId="0" fontId="33" fillId="0" borderId="0" xfId="0" applyFont="1" applyAlignment="1">
      <alignment horizontal="center"/>
    </xf>
    <xf numFmtId="43" fontId="8" fillId="5" borderId="1" xfId="1" applyFont="1" applyFill="1" applyBorder="1" applyAlignment="1">
      <alignment horizontal="center" vertical="center"/>
    </xf>
    <xf numFmtId="43" fontId="41" fillId="2" borderId="1" xfId="1" applyFont="1" applyFill="1" applyBorder="1" applyAlignment="1">
      <alignment horizontal="center"/>
    </xf>
    <xf numFmtId="0" fontId="2" fillId="0" borderId="9" xfId="0" applyFont="1" applyBorder="1" applyAlignment="1">
      <alignment horizontal="center"/>
    </xf>
    <xf numFmtId="0" fontId="2" fillId="0" borderId="23" xfId="0" applyFont="1" applyBorder="1" applyAlignment="1">
      <alignment horizontal="center"/>
    </xf>
    <xf numFmtId="0" fontId="2" fillId="0" borderId="6" xfId="0" applyFont="1" applyBorder="1" applyAlignment="1">
      <alignment horizontal="center"/>
    </xf>
    <xf numFmtId="0" fontId="9" fillId="0" borderId="11" xfId="0" applyFont="1" applyFill="1" applyBorder="1" applyAlignment="1">
      <alignment horizontal="center" vertical="top"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top" wrapText="1"/>
    </xf>
    <xf numFmtId="0" fontId="10" fillId="0" borderId="2" xfId="0" applyFont="1" applyFill="1" applyBorder="1" applyAlignment="1">
      <alignment horizontal="center" vertical="top" wrapText="1" readingOrder="1"/>
    </xf>
    <xf numFmtId="0" fontId="7" fillId="2" borderId="1" xfId="0" applyFont="1" applyFill="1" applyBorder="1" applyAlignment="1">
      <alignment horizontal="center" vertical="center"/>
    </xf>
    <xf numFmtId="43" fontId="7" fillId="2" borderId="1" xfId="1" applyNumberFormat="1" applyFont="1" applyFill="1" applyBorder="1" applyAlignment="1">
      <alignment horizontal="center"/>
    </xf>
    <xf numFmtId="0" fontId="7" fillId="2" borderId="1" xfId="1" applyNumberFormat="1" applyFont="1" applyFill="1" applyBorder="1" applyAlignment="1">
      <alignment horizontal="center"/>
    </xf>
    <xf numFmtId="43" fontId="0" fillId="0" borderId="1" xfId="0" applyNumberFormat="1" applyBorder="1" applyAlignment="1">
      <alignment horizontal="center" vertical="center" wrapText="1"/>
    </xf>
    <xf numFmtId="0" fontId="2" fillId="0" borderId="1" xfId="3" applyFont="1" applyFill="1" applyBorder="1" applyAlignment="1">
      <alignment horizontal="center" wrapText="1"/>
    </xf>
    <xf numFmtId="43" fontId="5" fillId="17" borderId="1" xfId="0" applyNumberFormat="1" applyFont="1" applyFill="1" applyBorder="1" applyAlignment="1">
      <alignment horizontal="center" vertical="center" wrapText="1"/>
    </xf>
    <xf numFmtId="0" fontId="5" fillId="17" borderId="1" xfId="0" applyFont="1" applyFill="1" applyBorder="1" applyAlignment="1">
      <alignment horizontal="center" vertical="center" wrapText="1"/>
    </xf>
    <xf numFmtId="0" fontId="0" fillId="0" borderId="1" xfId="0" applyBorder="1" applyAlignment="1">
      <alignment horizontal="center"/>
    </xf>
    <xf numFmtId="0" fontId="5" fillId="17" borderId="1"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wrapText="1"/>
    </xf>
    <xf numFmtId="43" fontId="7" fillId="2" borderId="1" xfId="1" applyFont="1" applyFill="1" applyBorder="1" applyAlignment="1">
      <alignment horizontal="center"/>
    </xf>
    <xf numFmtId="0" fontId="0" fillId="0" borderId="9"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 xfId="0" applyFill="1" applyBorder="1" applyAlignment="1">
      <alignment horizontal="center" vertical="center" wrapText="1"/>
    </xf>
    <xf numFmtId="0" fontId="41" fillId="0" borderId="1" xfId="0" applyFont="1" applyBorder="1" applyAlignment="1">
      <alignment horizontal="center" vertical="center" wrapText="1"/>
    </xf>
    <xf numFmtId="0" fontId="4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3" fontId="8" fillId="0" borderId="0" xfId="1" applyFont="1" applyFill="1" applyBorder="1" applyAlignment="1">
      <alignment horizontal="center" vertical="center"/>
    </xf>
    <xf numFmtId="0" fontId="7" fillId="0" borderId="1" xfId="0" applyFont="1" applyBorder="1" applyAlignment="1">
      <alignment horizontal="center" vertical="center" wrapText="1"/>
    </xf>
    <xf numFmtId="43" fontId="8" fillId="5" borderId="9" xfId="2" applyNumberFormat="1" applyFont="1" applyFill="1" applyBorder="1" applyAlignment="1">
      <alignment horizontal="center" vertical="center"/>
    </xf>
    <xf numFmtId="0" fontId="8" fillId="5" borderId="6" xfId="2" applyNumberFormat="1" applyFont="1" applyFill="1" applyBorder="1" applyAlignment="1">
      <alignment horizontal="center" vertical="center"/>
    </xf>
    <xf numFmtId="43" fontId="7" fillId="2" borderId="9" xfId="1" applyNumberFormat="1" applyFont="1" applyFill="1" applyBorder="1" applyAlignment="1">
      <alignment horizontal="center"/>
    </xf>
    <xf numFmtId="0" fontId="7" fillId="2" borderId="6" xfId="1" applyNumberFormat="1" applyFont="1" applyFill="1" applyBorder="1" applyAlignment="1">
      <alignment horizontal="center"/>
    </xf>
    <xf numFmtId="0" fontId="2" fillId="0" borderId="9" xfId="0" applyFont="1" applyFill="1" applyBorder="1" applyAlignment="1">
      <alignment horizontal="center"/>
    </xf>
    <xf numFmtId="0" fontId="2" fillId="0" borderId="6" xfId="0" applyFont="1" applyFill="1" applyBorder="1" applyAlignment="1">
      <alignment horizontal="center"/>
    </xf>
    <xf numFmtId="0" fontId="2" fillId="0" borderId="9"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3" fontId="7" fillId="0" borderId="0" xfId="1" applyFont="1" applyFill="1" applyBorder="1" applyAlignment="1">
      <alignment horizontal="center"/>
    </xf>
    <xf numFmtId="0" fontId="30" fillId="0" borderId="0" xfId="0" applyFont="1" applyAlignment="1">
      <alignment horizontal="center"/>
    </xf>
    <xf numFmtId="0" fontId="18"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1" xfId="3" applyFont="1" applyFill="1" applyBorder="1" applyAlignment="1">
      <alignment horizontal="center" wrapText="1"/>
    </xf>
    <xf numFmtId="0" fontId="5" fillId="2" borderId="1" xfId="0" applyFont="1" applyFill="1" applyBorder="1" applyAlignment="1">
      <alignment horizontal="center" vertical="center"/>
    </xf>
    <xf numFmtId="43" fontId="0" fillId="0" borderId="9" xfId="0" applyNumberFormat="1" applyBorder="1" applyAlignment="1">
      <alignment horizontal="center" vertical="center" wrapText="1"/>
    </xf>
    <xf numFmtId="43" fontId="5" fillId="17" borderId="9" xfId="0" applyNumberFormat="1" applyFont="1" applyFill="1" applyBorder="1" applyAlignment="1">
      <alignment horizontal="center" vertical="center" wrapText="1"/>
    </xf>
    <xf numFmtId="0" fontId="5" fillId="17" borderId="6" xfId="0" applyFont="1" applyFill="1" applyBorder="1" applyAlignment="1">
      <alignment horizontal="center" vertical="center" wrapText="1"/>
    </xf>
    <xf numFmtId="43" fontId="7" fillId="2" borderId="6" xfId="1" applyNumberFormat="1" applyFont="1" applyFill="1" applyBorder="1" applyAlignment="1">
      <alignment horizontal="center"/>
    </xf>
    <xf numFmtId="0" fontId="33" fillId="2" borderId="1" xfId="3" applyFont="1" applyFill="1" applyBorder="1" applyAlignment="1">
      <alignment horizontal="center" wrapText="1"/>
    </xf>
    <xf numFmtId="43" fontId="0" fillId="2" borderId="9" xfId="0" applyNumberFormat="1" applyFill="1" applyBorder="1" applyAlignment="1">
      <alignment horizontal="center" vertical="center" wrapText="1"/>
    </xf>
    <xf numFmtId="0" fontId="0" fillId="2" borderId="6" xfId="0" applyFill="1" applyBorder="1" applyAlignment="1">
      <alignment horizontal="center" vertical="center" wrapText="1"/>
    </xf>
    <xf numFmtId="43" fontId="17" fillId="5" borderId="9" xfId="1" applyFont="1" applyFill="1" applyBorder="1" applyAlignment="1">
      <alignment horizontal="center" vertical="center"/>
    </xf>
    <xf numFmtId="43" fontId="17" fillId="5" borderId="6" xfId="1" applyFont="1" applyFill="1" applyBorder="1" applyAlignment="1">
      <alignment horizontal="center" vertical="center"/>
    </xf>
    <xf numFmtId="0" fontId="18" fillId="0" borderId="20"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43" fontId="5" fillId="2" borderId="9" xfId="1" applyFont="1" applyFill="1" applyBorder="1" applyAlignment="1">
      <alignment horizontal="center"/>
    </xf>
    <xf numFmtId="43" fontId="5" fillId="2" borderId="6" xfId="1" applyFont="1" applyFill="1" applyBorder="1" applyAlignment="1">
      <alignment horizontal="center"/>
    </xf>
    <xf numFmtId="43" fontId="0" fillId="0" borderId="6" xfId="0" applyNumberFormat="1" applyBorder="1" applyAlignment="1">
      <alignment horizontal="center" vertical="center" wrapText="1"/>
    </xf>
    <xf numFmtId="0" fontId="0" fillId="0" borderId="9" xfId="0" applyBorder="1" applyAlignment="1">
      <alignment horizontal="center"/>
    </xf>
    <xf numFmtId="0" fontId="0" fillId="0" borderId="6" xfId="0" applyBorder="1" applyAlignment="1">
      <alignment horizontal="center"/>
    </xf>
    <xf numFmtId="43" fontId="0" fillId="0" borderId="9" xfId="1" applyFont="1" applyBorder="1" applyAlignment="1">
      <alignment horizontal="center"/>
    </xf>
    <xf numFmtId="43" fontId="0" fillId="0" borderId="6" xfId="1" applyFont="1" applyBorder="1" applyAlignment="1">
      <alignment horizontal="center"/>
    </xf>
    <xf numFmtId="0" fontId="0" fillId="2" borderId="4" xfId="0" applyFill="1" applyBorder="1" applyAlignment="1">
      <alignment horizontal="center" vertical="center" wrapText="1"/>
    </xf>
    <xf numFmtId="0" fontId="7" fillId="2" borderId="4" xfId="0" applyFont="1" applyFill="1" applyBorder="1" applyAlignment="1">
      <alignment horizontal="center" vertical="center" wrapText="1"/>
    </xf>
    <xf numFmtId="43" fontId="0" fillId="17" borderId="1" xfId="0" applyNumberFormat="1" applyFill="1" applyBorder="1" applyAlignment="1">
      <alignment horizontal="center" vertical="center" wrapText="1"/>
    </xf>
    <xf numFmtId="0" fontId="0" fillId="17" borderId="1" xfId="0" applyFill="1" applyBorder="1" applyAlignment="1">
      <alignment horizontal="center" vertical="center" wrapText="1"/>
    </xf>
    <xf numFmtId="43"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43" fontId="7" fillId="17" borderId="9" xfId="1" applyFont="1" applyFill="1" applyBorder="1" applyAlignment="1">
      <alignment horizontal="center"/>
    </xf>
    <xf numFmtId="43" fontId="7" fillId="17" borderId="6" xfId="1" applyFont="1" applyFill="1" applyBorder="1" applyAlignment="1">
      <alignment horizontal="center"/>
    </xf>
    <xf numFmtId="43" fontId="34" fillId="2" borderId="9" xfId="1" applyFont="1" applyFill="1" applyBorder="1" applyAlignment="1">
      <alignment horizontal="center" vertical="center"/>
    </xf>
    <xf numFmtId="43" fontId="34" fillId="2" borderId="6" xfId="1" applyFont="1" applyFill="1" applyBorder="1" applyAlignment="1">
      <alignment horizontal="center" vertical="center"/>
    </xf>
    <xf numFmtId="0" fontId="9" fillId="0" borderId="1" xfId="0" applyFont="1" applyFill="1" applyBorder="1" applyAlignment="1">
      <alignment horizontal="center" vertical="center"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0" fillId="4" borderId="1" xfId="0" applyFill="1" applyBorder="1" applyAlignment="1">
      <alignment horizontal="center" vertical="center"/>
    </xf>
    <xf numFmtId="0" fontId="7" fillId="4" borderId="9" xfId="0" applyFont="1" applyFill="1" applyBorder="1" applyAlignment="1">
      <alignment horizontal="center" vertical="center"/>
    </xf>
    <xf numFmtId="0" fontId="7" fillId="4" borderId="6" xfId="0" applyFont="1" applyFill="1" applyBorder="1" applyAlignment="1">
      <alignment horizontal="center" vertical="center"/>
    </xf>
    <xf numFmtId="17" fontId="0" fillId="0" borderId="3" xfId="0" quotePrefix="1" applyNumberFormat="1" applyBorder="1" applyAlignment="1">
      <alignment horizontal="center" vertical="center" wrapText="1"/>
    </xf>
    <xf numFmtId="17" fontId="0" fillId="0" borderId="4" xfId="0" quotePrefix="1" applyNumberFormat="1" applyBorder="1" applyAlignment="1">
      <alignment horizontal="center" vertical="center" wrapText="1"/>
    </xf>
    <xf numFmtId="17" fontId="0" fillId="0" borderId="2" xfId="0" quotePrefix="1" applyNumberFormat="1" applyBorder="1" applyAlignment="1">
      <alignment horizontal="center" vertical="center" wrapText="1"/>
    </xf>
    <xf numFmtId="43" fontId="4" fillId="0" borderId="3" xfId="1" quotePrefix="1" applyFont="1" applyBorder="1" applyAlignment="1">
      <alignment horizontal="center" vertical="center" wrapText="1" readingOrder="1"/>
    </xf>
    <xf numFmtId="43" fontId="4" fillId="0" borderId="4" xfId="1" quotePrefix="1" applyFont="1" applyBorder="1" applyAlignment="1">
      <alignment horizontal="center" vertical="center" wrapText="1" readingOrder="1"/>
    </xf>
    <xf numFmtId="43" fontId="0" fillId="4" borderId="1" xfId="1" applyFont="1" applyFill="1" applyBorder="1" applyAlignment="1">
      <alignment horizontal="center" vertical="center" wrapText="1"/>
    </xf>
    <xf numFmtId="43" fontId="0" fillId="4" borderId="3" xfId="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2" xfId="0" applyBorder="1" applyAlignment="1">
      <alignment horizontal="center" vertical="top" wrapText="1"/>
    </xf>
    <xf numFmtId="0" fontId="9" fillId="0" borderId="1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 xfId="0" applyFill="1" applyBorder="1" applyAlignment="1">
      <alignment horizontal="center" vertical="top"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5" borderId="4" xfId="0" applyFill="1" applyBorder="1" applyAlignment="1">
      <alignment horizontal="center" vertical="center" wrapText="1"/>
    </xf>
    <xf numFmtId="0" fontId="7" fillId="0" borderId="17" xfId="0" applyFont="1" applyFill="1" applyBorder="1" applyAlignment="1">
      <alignment horizontal="center" vertical="center" wrapText="1"/>
    </xf>
    <xf numFmtId="43" fontId="0" fillId="0" borderId="25" xfId="1" applyFont="1" applyBorder="1" applyAlignment="1">
      <alignment horizontal="center" vertical="center"/>
    </xf>
    <xf numFmtId="43" fontId="0" fillId="0" borderId="26" xfId="1" applyFont="1" applyBorder="1" applyAlignment="1">
      <alignment horizontal="center" vertical="center"/>
    </xf>
    <xf numFmtId="43" fontId="46" fillId="0" borderId="26" xfId="1" applyFont="1" applyFill="1" applyBorder="1" applyAlignment="1">
      <alignment horizontal="center" vertical="center"/>
    </xf>
    <xf numFmtId="43" fontId="0" fillId="0" borderId="27" xfId="1" applyFont="1" applyBorder="1" applyAlignment="1">
      <alignment horizontal="center" vertical="center"/>
    </xf>
    <xf numFmtId="4" fontId="0" fillId="0" borderId="26" xfId="0" applyNumberFormat="1" applyBorder="1" applyAlignment="1">
      <alignment horizontal="right" vertical="center"/>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2" builtinId="27" customBuiltin="1"/>
    <cellStyle name="Calculation" xfId="4" builtinId="22" customBuiltin="1"/>
    <cellStyle name="Check Cell" xfId="16" builtinId="23" customBuiltin="1"/>
    <cellStyle name="Comma" xfId="1" builtinId="3"/>
    <cellStyle name="Comma 2" xfId="5"/>
    <cellStyle name="Explanatory Text" xfId="19"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2" builtinId="24" customBuiltin="1"/>
    <cellStyle name="Neutral" xfId="13" builtinId="28" customBuiltin="1"/>
    <cellStyle name="Normal" xfId="0" builtinId="0"/>
    <cellStyle name="Normal 2" xfId="3"/>
    <cellStyle name="Note" xfId="18" builtinId="10" customBuiltin="1"/>
    <cellStyle name="Output" xfId="15" builtinId="21" customBuiltin="1"/>
    <cellStyle name="Style 1" xfId="45"/>
    <cellStyle name="Title" xfId="6"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ECIAL%20PROJECTS/Pantawid/2014%20Files/Disbursement%20Report/Period%201%202014%20%20Final%20(Plan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mp;e"/>
      <sheetName val="updated may 7_FMS"/>
      <sheetName val="detailed"/>
    </sheetNames>
    <sheetDataSet>
      <sheetData sheetId="0"/>
      <sheetData sheetId="1">
        <row r="12">
          <cell r="I12">
            <v>4147700</v>
          </cell>
        </row>
        <row r="13">
          <cell r="I13">
            <v>5088200</v>
          </cell>
        </row>
        <row r="14">
          <cell r="I14">
            <v>3257700</v>
          </cell>
        </row>
        <row r="15">
          <cell r="I15">
            <v>1963100</v>
          </cell>
        </row>
        <row r="16">
          <cell r="I16">
            <v>3349600</v>
          </cell>
        </row>
        <row r="17">
          <cell r="I17">
            <v>4410100</v>
          </cell>
        </row>
        <row r="18">
          <cell r="I18">
            <v>6082500</v>
          </cell>
        </row>
        <row r="19">
          <cell r="I19">
            <v>4567500</v>
          </cell>
        </row>
        <row r="21">
          <cell r="I21">
            <v>2604400</v>
          </cell>
        </row>
        <row r="22">
          <cell r="I22">
            <v>10948500</v>
          </cell>
        </row>
        <row r="23">
          <cell r="I23">
            <v>6017300</v>
          </cell>
        </row>
        <row r="24">
          <cell r="I24">
            <v>4481800</v>
          </cell>
        </row>
        <row r="25">
          <cell r="I25">
            <v>5714200</v>
          </cell>
        </row>
        <row r="26">
          <cell r="I26">
            <v>2963500</v>
          </cell>
        </row>
        <row r="36">
          <cell r="I36">
            <v>5947800</v>
          </cell>
        </row>
        <row r="37">
          <cell r="I37">
            <v>7361200</v>
          </cell>
        </row>
        <row r="38">
          <cell r="I38">
            <v>11050600</v>
          </cell>
        </row>
        <row r="39">
          <cell r="I39">
            <v>9385900</v>
          </cell>
        </row>
        <row r="40">
          <cell r="I40">
            <v>4708500</v>
          </cell>
        </row>
        <row r="41">
          <cell r="I41">
            <v>7556300</v>
          </cell>
        </row>
        <row r="43">
          <cell r="I43">
            <v>5403200</v>
          </cell>
        </row>
        <row r="44">
          <cell r="I44">
            <v>6999500</v>
          </cell>
        </row>
        <row r="45">
          <cell r="I45">
            <v>6828900</v>
          </cell>
        </row>
        <row r="46">
          <cell r="I46">
            <v>5347600</v>
          </cell>
        </row>
        <row r="47">
          <cell r="I47">
            <v>5326900</v>
          </cell>
        </row>
        <row r="48">
          <cell r="I48">
            <v>6909300</v>
          </cell>
        </row>
        <row r="49">
          <cell r="I49">
            <v>4982500</v>
          </cell>
        </row>
        <row r="51">
          <cell r="I51">
            <v>4968300</v>
          </cell>
        </row>
        <row r="52">
          <cell r="I52">
            <v>6872500</v>
          </cell>
        </row>
        <row r="53">
          <cell r="I53">
            <v>12561500</v>
          </cell>
        </row>
        <row r="54">
          <cell r="I54">
            <v>11043000</v>
          </cell>
        </row>
        <row r="55">
          <cell r="I55">
            <v>18670500</v>
          </cell>
        </row>
        <row r="56">
          <cell r="I56">
            <v>8559300</v>
          </cell>
        </row>
        <row r="58">
          <cell r="I58">
            <v>9613800</v>
          </cell>
        </row>
        <row r="59">
          <cell r="I59">
            <v>8633900</v>
          </cell>
        </row>
        <row r="60">
          <cell r="I60">
            <v>2344400</v>
          </cell>
        </row>
        <row r="61">
          <cell r="I61">
            <v>18578800</v>
          </cell>
        </row>
        <row r="63">
          <cell r="I63">
            <v>51665200</v>
          </cell>
        </row>
        <row r="66">
          <cell r="I66">
            <v>10994500</v>
          </cell>
        </row>
        <row r="67">
          <cell r="I67">
            <v>12926300</v>
          </cell>
        </row>
        <row r="68">
          <cell r="I68">
            <v>22400000</v>
          </cell>
        </row>
        <row r="69">
          <cell r="I69">
            <v>4918000</v>
          </cell>
        </row>
        <row r="70">
          <cell r="I70">
            <v>3011000</v>
          </cell>
        </row>
        <row r="71">
          <cell r="I71">
            <v>9675500</v>
          </cell>
        </row>
        <row r="72">
          <cell r="I72">
            <v>8852100</v>
          </cell>
        </row>
        <row r="73">
          <cell r="I73">
            <v>20991900</v>
          </cell>
        </row>
        <row r="74">
          <cell r="I74">
            <v>8482600</v>
          </cell>
        </row>
        <row r="76">
          <cell r="I76">
            <v>6096000</v>
          </cell>
        </row>
        <row r="77">
          <cell r="I77">
            <v>6052200</v>
          </cell>
        </row>
        <row r="78">
          <cell r="I78">
            <v>9260600</v>
          </cell>
        </row>
        <row r="79">
          <cell r="I79">
            <v>4933100</v>
          </cell>
        </row>
        <row r="80">
          <cell r="I80">
            <v>8496200</v>
          </cell>
        </row>
        <row r="81">
          <cell r="I81">
            <v>15737300</v>
          </cell>
        </row>
        <row r="82">
          <cell r="I82">
            <v>12215000</v>
          </cell>
        </row>
        <row r="83">
          <cell r="I83">
            <v>3983800</v>
          </cell>
        </row>
        <row r="85">
          <cell r="I85">
            <v>11100600</v>
          </cell>
        </row>
        <row r="86">
          <cell r="I86">
            <v>25063500</v>
          </cell>
        </row>
        <row r="87">
          <cell r="I87">
            <v>5914100</v>
          </cell>
        </row>
        <row r="88">
          <cell r="I88">
            <v>6987700</v>
          </cell>
        </row>
        <row r="89">
          <cell r="I89">
            <v>9052400</v>
          </cell>
        </row>
        <row r="90">
          <cell r="I90">
            <v>5171800</v>
          </cell>
        </row>
        <row r="91">
          <cell r="I91">
            <v>6298900</v>
          </cell>
        </row>
        <row r="93">
          <cell r="I93">
            <v>9359500</v>
          </cell>
        </row>
        <row r="94">
          <cell r="I94">
            <v>7526300</v>
          </cell>
        </row>
        <row r="95">
          <cell r="I95">
            <v>4826200</v>
          </cell>
        </row>
        <row r="96">
          <cell r="I96">
            <v>14780200</v>
          </cell>
        </row>
        <row r="97">
          <cell r="I97">
            <v>2595100</v>
          </cell>
        </row>
        <row r="98">
          <cell r="I98">
            <v>10909700</v>
          </cell>
        </row>
        <row r="99">
          <cell r="I99">
            <v>5185000</v>
          </cell>
        </row>
        <row r="100">
          <cell r="I100">
            <v>6967400</v>
          </cell>
        </row>
        <row r="103">
          <cell r="I103">
            <v>11618200</v>
          </cell>
        </row>
        <row r="104">
          <cell r="I104">
            <v>7702000</v>
          </cell>
        </row>
        <row r="105">
          <cell r="I105">
            <v>7488200</v>
          </cell>
        </row>
        <row r="107">
          <cell r="I107">
            <v>7539300</v>
          </cell>
        </row>
        <row r="108">
          <cell r="I108">
            <v>7340300</v>
          </cell>
        </row>
        <row r="109">
          <cell r="I109">
            <v>13670400</v>
          </cell>
        </row>
        <row r="110">
          <cell r="I110">
            <v>12502000</v>
          </cell>
        </row>
        <row r="111">
          <cell r="I111">
            <v>3736600</v>
          </cell>
        </row>
        <row r="112">
          <cell r="I112">
            <v>3792200</v>
          </cell>
        </row>
        <row r="114">
          <cell r="I114">
            <v>14665600</v>
          </cell>
        </row>
        <row r="115">
          <cell r="I115">
            <v>3152100</v>
          </cell>
        </row>
        <row r="116">
          <cell r="I116">
            <v>10044200</v>
          </cell>
        </row>
        <row r="117">
          <cell r="I117">
            <v>11250300</v>
          </cell>
        </row>
        <row r="118">
          <cell r="I118">
            <v>5451100</v>
          </cell>
        </row>
        <row r="120">
          <cell r="I120">
            <v>10892400</v>
          </cell>
        </row>
        <row r="121">
          <cell r="I121">
            <v>18950500</v>
          </cell>
        </row>
        <row r="122">
          <cell r="I122">
            <v>10893800</v>
          </cell>
        </row>
        <row r="123">
          <cell r="I123">
            <v>7652400</v>
          </cell>
        </row>
        <row r="124">
          <cell r="I124">
            <v>4999500</v>
          </cell>
        </row>
        <row r="125">
          <cell r="I125">
            <v>7538100</v>
          </cell>
        </row>
        <row r="126">
          <cell r="I126">
            <v>5248300</v>
          </cell>
        </row>
        <row r="127">
          <cell r="I127">
            <v>3124300</v>
          </cell>
        </row>
        <row r="130">
          <cell r="I130">
            <v>1485100</v>
          </cell>
        </row>
        <row r="131">
          <cell r="I131">
            <v>6349000</v>
          </cell>
        </row>
        <row r="132">
          <cell r="I132">
            <v>5724400</v>
          </cell>
        </row>
        <row r="133">
          <cell r="I133">
            <v>8071700</v>
          </cell>
        </row>
        <row r="134">
          <cell r="I134">
            <v>8560200</v>
          </cell>
        </row>
        <row r="135">
          <cell r="I135">
            <v>2394600</v>
          </cell>
        </row>
        <row r="136">
          <cell r="I136">
            <v>4029200</v>
          </cell>
        </row>
        <row r="137">
          <cell r="I137">
            <v>1871300</v>
          </cell>
        </row>
        <row r="138">
          <cell r="I138">
            <v>3945100</v>
          </cell>
        </row>
        <row r="139">
          <cell r="I139">
            <v>4947900</v>
          </cell>
        </row>
        <row r="141">
          <cell r="I141">
            <v>11000000</v>
          </cell>
        </row>
        <row r="142">
          <cell r="I142">
            <v>10541900</v>
          </cell>
        </row>
        <row r="143">
          <cell r="I143">
            <v>29457600</v>
          </cell>
        </row>
        <row r="144">
          <cell r="I144">
            <v>7886700</v>
          </cell>
        </row>
        <row r="146">
          <cell r="I146">
            <v>5081900</v>
          </cell>
        </row>
        <row r="147">
          <cell r="I147">
            <v>15535600</v>
          </cell>
        </row>
        <row r="148">
          <cell r="I148">
            <v>18742700</v>
          </cell>
        </row>
        <row r="149">
          <cell r="I149">
            <v>9413400</v>
          </cell>
        </row>
        <row r="152">
          <cell r="I152">
            <v>3556200</v>
          </cell>
        </row>
        <row r="153">
          <cell r="I153">
            <v>7714300</v>
          </cell>
        </row>
        <row r="154">
          <cell r="I154">
            <v>3789900</v>
          </cell>
        </row>
        <row r="155">
          <cell r="I155">
            <v>7757400</v>
          </cell>
        </row>
        <row r="157">
          <cell r="I157">
            <v>7004500</v>
          </cell>
        </row>
        <row r="158">
          <cell r="I158">
            <v>4313700</v>
          </cell>
        </row>
        <row r="159">
          <cell r="I159">
            <v>3798400</v>
          </cell>
        </row>
        <row r="160">
          <cell r="I160">
            <v>4318500</v>
          </cell>
        </row>
        <row r="161">
          <cell r="I161">
            <v>5116700</v>
          </cell>
        </row>
        <row r="162">
          <cell r="I162">
            <v>6559500</v>
          </cell>
        </row>
        <row r="163">
          <cell r="I163">
            <v>2712800</v>
          </cell>
        </row>
        <row r="164">
          <cell r="I164">
            <v>2304800</v>
          </cell>
        </row>
        <row r="165">
          <cell r="I165">
            <v>2873100</v>
          </cell>
        </row>
        <row r="166">
          <cell r="I166">
            <v>8878800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5"/>
  <sheetViews>
    <sheetView workbookViewId="0">
      <selection activeCell="G10" sqref="G10"/>
    </sheetView>
  </sheetViews>
  <sheetFormatPr defaultColWidth="9.140625" defaultRowHeight="15" x14ac:dyDescent="0.25"/>
  <cols>
    <col min="1" max="1" width="30.85546875" style="310" customWidth="1"/>
    <col min="2" max="2" width="35.28515625" style="310" customWidth="1"/>
    <col min="3" max="4" width="15.140625" style="310" customWidth="1"/>
    <col min="5" max="5" width="16.7109375" style="310" customWidth="1"/>
    <col min="6" max="6" width="12.140625" style="310" customWidth="1"/>
    <col min="7" max="7" width="18.5703125" style="310" customWidth="1"/>
    <col min="8" max="8" width="11.140625" style="310" customWidth="1"/>
    <col min="9" max="9" width="18.140625" style="310" customWidth="1"/>
    <col min="10" max="16384" width="9.140625" style="310"/>
  </cols>
  <sheetData>
    <row r="1" spans="1:9" x14ac:dyDescent="0.25">
      <c r="A1" s="843" t="s">
        <v>39</v>
      </c>
      <c r="B1" s="843"/>
      <c r="C1" s="843"/>
      <c r="D1" s="843"/>
      <c r="E1" s="843"/>
      <c r="F1" s="843"/>
      <c r="G1" s="843"/>
      <c r="H1" s="843"/>
      <c r="I1" s="843"/>
    </row>
    <row r="2" spans="1:9" x14ac:dyDescent="0.25">
      <c r="A2" s="843" t="s">
        <v>40</v>
      </c>
      <c r="B2" s="843"/>
      <c r="C2" s="843"/>
      <c r="D2" s="843"/>
      <c r="E2" s="843"/>
      <c r="F2" s="843"/>
      <c r="G2" s="843"/>
      <c r="H2" s="843"/>
      <c r="I2" s="843"/>
    </row>
    <row r="3" spans="1:9" x14ac:dyDescent="0.25">
      <c r="A3" s="311"/>
      <c r="B3" s="311"/>
      <c r="C3" s="311"/>
      <c r="D3" s="311"/>
      <c r="E3" s="311"/>
      <c r="F3" s="311"/>
      <c r="G3" s="311"/>
      <c r="H3" s="311"/>
      <c r="I3" s="311"/>
    </row>
    <row r="4" spans="1:9" s="47" customFormat="1" ht="15.75" x14ac:dyDescent="0.25">
      <c r="A4" s="844" t="s">
        <v>292</v>
      </c>
      <c r="B4" s="844"/>
      <c r="C4" s="844"/>
      <c r="D4" s="844"/>
      <c r="E4" s="844"/>
      <c r="F4" s="844"/>
      <c r="G4" s="844"/>
      <c r="H4" s="844"/>
      <c r="I4" s="844"/>
    </row>
    <row r="5" spans="1:9" s="48" customFormat="1" x14ac:dyDescent="0.25"/>
    <row r="6" spans="1:9" s="312" customFormat="1" ht="15" customHeight="1" x14ac:dyDescent="0.25">
      <c r="A6" s="845" t="s">
        <v>0</v>
      </c>
      <c r="B6" s="846" t="s">
        <v>51</v>
      </c>
      <c r="C6" s="845" t="s">
        <v>4</v>
      </c>
      <c r="D6" s="846" t="s">
        <v>244</v>
      </c>
      <c r="E6" s="848" t="s">
        <v>245</v>
      </c>
      <c r="F6" s="848" t="s">
        <v>48</v>
      </c>
      <c r="G6" s="845" t="s">
        <v>1</v>
      </c>
      <c r="H6" s="850" t="s">
        <v>59</v>
      </c>
      <c r="I6" s="851"/>
    </row>
    <row r="7" spans="1:9" s="312" customFormat="1" ht="21" customHeight="1" x14ac:dyDescent="0.25">
      <c r="A7" s="846"/>
      <c r="B7" s="847"/>
      <c r="C7" s="846"/>
      <c r="D7" s="847"/>
      <c r="E7" s="849"/>
      <c r="F7" s="849"/>
      <c r="G7" s="846"/>
      <c r="H7" s="313" t="s">
        <v>48</v>
      </c>
      <c r="I7" s="313" t="s">
        <v>60</v>
      </c>
    </row>
    <row r="8" spans="1:9" s="12" customFormat="1" ht="20.25" customHeight="1" x14ac:dyDescent="0.25">
      <c r="A8" s="10" t="s">
        <v>14</v>
      </c>
      <c r="B8" s="10"/>
      <c r="C8" s="11"/>
      <c r="D8" s="11"/>
      <c r="E8" s="11"/>
      <c r="F8" s="14"/>
      <c r="G8" s="121">
        <f>G10+G55+G89+G124+G159+G194+G229+G262+G296+G331</f>
        <v>3016902646.0799999</v>
      </c>
      <c r="H8" s="11"/>
      <c r="I8" s="121" t="e">
        <f>I10+I55+I89+I124+I159+I194+I229+I262+I296+I331</f>
        <v>#REF!</v>
      </c>
    </row>
    <row r="9" spans="1:9" s="315" customFormat="1" ht="4.9000000000000004" customHeight="1" x14ac:dyDescent="0.25">
      <c r="A9" s="314"/>
      <c r="B9" s="314"/>
      <c r="C9" s="314"/>
      <c r="D9" s="314"/>
      <c r="E9" s="314"/>
      <c r="F9" s="314"/>
      <c r="G9" s="314"/>
      <c r="H9" s="314"/>
      <c r="I9" s="314"/>
    </row>
    <row r="10" spans="1:9" s="312" customFormat="1" ht="27.75" customHeight="1" x14ac:dyDescent="0.25">
      <c r="A10" s="834" t="s">
        <v>5</v>
      </c>
      <c r="B10" s="831" t="s">
        <v>50</v>
      </c>
      <c r="C10" s="837" t="s">
        <v>21</v>
      </c>
      <c r="D10" s="328" t="s">
        <v>81</v>
      </c>
      <c r="E10" s="329"/>
      <c r="F10" s="309">
        <f>F11+F13+F16+F22+F27+F32+F36</f>
        <v>265566</v>
      </c>
      <c r="G10" s="308">
        <f>G11+G13+G16+G22+G27+G32+G36</f>
        <v>2598393400</v>
      </c>
      <c r="H10" s="309" t="e">
        <f>H11+H13+H16+H22+H27+H32+H36</f>
        <v>#REF!</v>
      </c>
      <c r="I10" s="308" t="e">
        <f>I11+I13+I16+I22+I27+I32+I36</f>
        <v>#REF!</v>
      </c>
    </row>
    <row r="11" spans="1:9" s="312" customFormat="1" ht="18.75" customHeight="1" x14ac:dyDescent="0.25">
      <c r="A11" s="835"/>
      <c r="B11" s="832"/>
      <c r="C11" s="838"/>
      <c r="D11" s="299" t="s">
        <v>294</v>
      </c>
      <c r="E11" s="298"/>
      <c r="F11" s="298">
        <f>F12</f>
        <v>7875</v>
      </c>
      <c r="G11" s="326">
        <f>G12</f>
        <v>85384600</v>
      </c>
      <c r="H11" s="298">
        <f>H12</f>
        <v>7932</v>
      </c>
      <c r="I11" s="326">
        <f>I12</f>
        <v>118980000</v>
      </c>
    </row>
    <row r="12" spans="1:9" s="316" customFormat="1" ht="14.25" customHeight="1" x14ac:dyDescent="0.25">
      <c r="A12" s="835"/>
      <c r="B12" s="832"/>
      <c r="C12" s="838"/>
      <c r="D12" s="305"/>
      <c r="E12" s="306" t="s">
        <v>250</v>
      </c>
      <c r="F12" s="307">
        <f>Aurora!E10</f>
        <v>7875</v>
      </c>
      <c r="G12" s="318">
        <f>Aurora!F10</f>
        <v>85384600</v>
      </c>
      <c r="H12" s="307">
        <f>Aurora!G10</f>
        <v>7932</v>
      </c>
      <c r="I12" s="318">
        <f>Aurora!H10</f>
        <v>118980000</v>
      </c>
    </row>
    <row r="13" spans="1:9" s="316" customFormat="1" ht="14.25" customHeight="1" x14ac:dyDescent="0.25">
      <c r="A13" s="835"/>
      <c r="B13" s="832"/>
      <c r="C13" s="838"/>
      <c r="D13" s="300" t="s">
        <v>295</v>
      </c>
      <c r="E13" s="300"/>
      <c r="F13" s="317">
        <f>F14+F15</f>
        <v>14908</v>
      </c>
      <c r="G13" s="327">
        <f>G14+G15</f>
        <v>133820800</v>
      </c>
      <c r="H13" s="317">
        <f>H14+H15</f>
        <v>15287</v>
      </c>
      <c r="I13" s="327">
        <f>I14+I15</f>
        <v>229305000</v>
      </c>
    </row>
    <row r="14" spans="1:9" s="316" customFormat="1" ht="14.25" customHeight="1" x14ac:dyDescent="0.25">
      <c r="A14" s="835"/>
      <c r="B14" s="832"/>
      <c r="C14" s="838"/>
      <c r="D14" s="273"/>
      <c r="E14" s="306" t="s">
        <v>248</v>
      </c>
      <c r="F14" s="307">
        <f>Bataan!E12</f>
        <v>8346</v>
      </c>
      <c r="G14" s="318">
        <f>Bataan!F12</f>
        <v>72539400</v>
      </c>
      <c r="H14" s="307">
        <f>Bataan!G12</f>
        <v>8541</v>
      </c>
      <c r="I14" s="318">
        <f>Bataan!H12</f>
        <v>128115000</v>
      </c>
    </row>
    <row r="15" spans="1:9" s="316" customFormat="1" ht="14.25" customHeight="1" x14ac:dyDescent="0.25">
      <c r="A15" s="835"/>
      <c r="B15" s="832"/>
      <c r="C15" s="838"/>
      <c r="D15" s="273"/>
      <c r="E15" s="306" t="s">
        <v>249</v>
      </c>
      <c r="F15" s="307">
        <f>Bataan!E19</f>
        <v>6562</v>
      </c>
      <c r="G15" s="318">
        <f>Bataan!F19</f>
        <v>61281400</v>
      </c>
      <c r="H15" s="307">
        <f>Bataan!G19</f>
        <v>6746</v>
      </c>
      <c r="I15" s="318">
        <f>Bataan!H19</f>
        <v>101190000</v>
      </c>
    </row>
    <row r="16" spans="1:9" s="316" customFormat="1" ht="14.25" customHeight="1" x14ac:dyDescent="0.25">
      <c r="A16" s="835"/>
      <c r="B16" s="832"/>
      <c r="C16" s="838"/>
      <c r="D16" s="300" t="s">
        <v>296</v>
      </c>
      <c r="E16" s="300"/>
      <c r="F16" s="317">
        <f>F17+F18+F19+F20+F21</f>
        <v>61434</v>
      </c>
      <c r="G16" s="327">
        <f>G17+G18+G19+G20+G21</f>
        <v>607481500</v>
      </c>
      <c r="H16" s="317">
        <f>H17+H18+H19+H20+H21</f>
        <v>62945</v>
      </c>
      <c r="I16" s="327">
        <f>I17+I18+I19+I20+I21</f>
        <v>944175000</v>
      </c>
    </row>
    <row r="17" spans="1:9" s="316" customFormat="1" ht="14.25" customHeight="1" x14ac:dyDescent="0.25">
      <c r="A17" s="835"/>
      <c r="B17" s="832"/>
      <c r="C17" s="838"/>
      <c r="D17" s="273"/>
      <c r="E17" s="306" t="s">
        <v>248</v>
      </c>
      <c r="F17" s="307">
        <f>Bulacan!E12</f>
        <v>11737</v>
      </c>
      <c r="G17" s="318">
        <f>Bulacan!F12</f>
        <v>119621500</v>
      </c>
      <c r="H17" s="307">
        <f>Bulacan!G12</f>
        <v>12107</v>
      </c>
      <c r="I17" s="318">
        <f>Bulacan!H12</f>
        <v>181605000</v>
      </c>
    </row>
    <row r="18" spans="1:9" s="316" customFormat="1" ht="14.25" customHeight="1" x14ac:dyDescent="0.25">
      <c r="A18" s="835"/>
      <c r="B18" s="832"/>
      <c r="C18" s="838"/>
      <c r="D18" s="273"/>
      <c r="E18" s="306" t="s">
        <v>249</v>
      </c>
      <c r="F18" s="307">
        <f>Bulacan!E19</f>
        <v>10476</v>
      </c>
      <c r="G18" s="318">
        <f>Bulacan!F19</f>
        <v>104526100</v>
      </c>
      <c r="H18" s="307">
        <f>Bulacan!G19</f>
        <v>10870</v>
      </c>
      <c r="I18" s="318">
        <f>Bulacan!H19</f>
        <v>163050000</v>
      </c>
    </row>
    <row r="19" spans="1:9" s="316" customFormat="1" ht="14.25" customHeight="1" x14ac:dyDescent="0.25">
      <c r="A19" s="835"/>
      <c r="B19" s="832"/>
      <c r="C19" s="838"/>
      <c r="D19" s="273"/>
      <c r="E19" s="306" t="s">
        <v>288</v>
      </c>
      <c r="F19" s="307">
        <f>Bulacan!E27</f>
        <v>15622</v>
      </c>
      <c r="G19" s="318">
        <f>Bulacan!F27</f>
        <v>162086300</v>
      </c>
      <c r="H19" s="307">
        <f>Bulacan!G27</f>
        <v>15987</v>
      </c>
      <c r="I19" s="318">
        <f>Bulacan!H27</f>
        <v>239805000</v>
      </c>
    </row>
    <row r="20" spans="1:9" s="316" customFormat="1" ht="14.25" customHeight="1" x14ac:dyDescent="0.25">
      <c r="A20" s="835"/>
      <c r="B20" s="832"/>
      <c r="C20" s="838"/>
      <c r="D20" s="273"/>
      <c r="E20" s="306" t="s">
        <v>289</v>
      </c>
      <c r="F20" s="307">
        <f>Bulacan!E34</f>
        <v>10330</v>
      </c>
      <c r="G20" s="318">
        <f>Bulacan!F34</f>
        <v>97003500</v>
      </c>
      <c r="H20" s="307">
        <f>Bulacan!G34</f>
        <v>10460</v>
      </c>
      <c r="I20" s="318">
        <f>Bulacan!H34</f>
        <v>156900000</v>
      </c>
    </row>
    <row r="21" spans="1:9" s="316" customFormat="1" ht="14.25" customHeight="1" x14ac:dyDescent="0.25">
      <c r="A21" s="835"/>
      <c r="B21" s="832"/>
      <c r="C21" s="838"/>
      <c r="D21" s="273"/>
      <c r="E21" s="306" t="s">
        <v>290</v>
      </c>
      <c r="F21" s="307">
        <f>Bulacan!E39</f>
        <v>13269</v>
      </c>
      <c r="G21" s="318">
        <f>Bulacan!F39</f>
        <v>124244100</v>
      </c>
      <c r="H21" s="307">
        <f>Bulacan!G39</f>
        <v>13521</v>
      </c>
      <c r="I21" s="318">
        <f>Bulacan!H39</f>
        <v>202815000</v>
      </c>
    </row>
    <row r="22" spans="1:9" s="316" customFormat="1" ht="14.25" customHeight="1" x14ac:dyDescent="0.25">
      <c r="A22" s="835"/>
      <c r="B22" s="832"/>
      <c r="C22" s="838"/>
      <c r="D22" s="300" t="s">
        <v>297</v>
      </c>
      <c r="E22" s="300"/>
      <c r="F22" s="319">
        <f>F23+F24+F25+F26</f>
        <v>79644</v>
      </c>
      <c r="G22" s="327">
        <f>G23+G24+G25+G26</f>
        <v>776188300</v>
      </c>
      <c r="H22" s="319" t="e">
        <f>H23+H24+H25+H26</f>
        <v>#REF!</v>
      </c>
      <c r="I22" s="327" t="e">
        <f>I23+I24+I25+I26</f>
        <v>#REF!</v>
      </c>
    </row>
    <row r="23" spans="1:9" s="316" customFormat="1" ht="14.25" customHeight="1" x14ac:dyDescent="0.25">
      <c r="A23" s="835"/>
      <c r="B23" s="832"/>
      <c r="C23" s="838"/>
      <c r="D23" s="273"/>
      <c r="E23" s="306" t="s">
        <v>248</v>
      </c>
      <c r="F23" s="320">
        <f>'Nueva Ecija'!E12</f>
        <v>26900</v>
      </c>
      <c r="G23" s="318">
        <f>'Nueva Ecija'!F12</f>
        <v>262167900</v>
      </c>
      <c r="H23" s="320">
        <f>'Nueva Ecija'!G12</f>
        <v>27701</v>
      </c>
      <c r="I23" s="318">
        <f>'Nueva Ecija'!H12</f>
        <v>415515000</v>
      </c>
    </row>
    <row r="24" spans="1:9" s="316" customFormat="1" ht="14.25" customHeight="1" x14ac:dyDescent="0.25">
      <c r="A24" s="835"/>
      <c r="B24" s="832"/>
      <c r="C24" s="838"/>
      <c r="D24" s="273"/>
      <c r="E24" s="306" t="s">
        <v>249</v>
      </c>
      <c r="F24" s="307">
        <f>'Nueva Ecija'!E22</f>
        <v>19011</v>
      </c>
      <c r="G24" s="318">
        <f>'Nueva Ecija'!F22</f>
        <v>177135400</v>
      </c>
      <c r="H24" s="307">
        <f>'Nueva Ecija'!G22</f>
        <v>19337</v>
      </c>
      <c r="I24" s="318">
        <f>'Nueva Ecija'!H22</f>
        <v>290055000</v>
      </c>
    </row>
    <row r="25" spans="1:9" s="316" customFormat="1" ht="14.25" customHeight="1" x14ac:dyDescent="0.25">
      <c r="A25" s="835"/>
      <c r="B25" s="832"/>
      <c r="C25" s="838"/>
      <c r="D25" s="273"/>
      <c r="E25" s="306" t="s">
        <v>288</v>
      </c>
      <c r="F25" s="307">
        <f>'Nueva Ecija'!E31</f>
        <v>17874</v>
      </c>
      <c r="G25" s="318">
        <f>'Nueva Ecija'!F31</f>
        <v>188711500</v>
      </c>
      <c r="H25" s="307">
        <f>'Nueva Ecija'!G31</f>
        <v>18194</v>
      </c>
      <c r="I25" s="318">
        <f>'Nueva Ecija'!H31</f>
        <v>272910000</v>
      </c>
    </row>
    <row r="26" spans="1:9" s="316" customFormat="1" ht="14.25" customHeight="1" x14ac:dyDescent="0.25">
      <c r="A26" s="835"/>
      <c r="B26" s="832"/>
      <c r="C26" s="838"/>
      <c r="D26" s="273"/>
      <c r="E26" s="306" t="s">
        <v>289</v>
      </c>
      <c r="F26" s="307">
        <f>'Nueva Ecija'!E43</f>
        <v>15859</v>
      </c>
      <c r="G26" s="318">
        <f>'Nueva Ecija'!F43</f>
        <v>148173500</v>
      </c>
      <c r="H26" s="307" t="e">
        <f>'Nueva Ecija'!#REF!</f>
        <v>#REF!</v>
      </c>
      <c r="I26" s="318" t="e">
        <f>'Nueva Ecija'!#REF!</f>
        <v>#REF!</v>
      </c>
    </row>
    <row r="27" spans="1:9" s="316" customFormat="1" ht="14.25" customHeight="1" x14ac:dyDescent="0.25">
      <c r="A27" s="835"/>
      <c r="B27" s="832"/>
      <c r="C27" s="838"/>
      <c r="D27" s="300" t="s">
        <v>298</v>
      </c>
      <c r="E27" s="300"/>
      <c r="F27" s="319">
        <f>F28+F29+F30+F31</f>
        <v>46351</v>
      </c>
      <c r="G27" s="327">
        <f>G28+G29+G30+G31</f>
        <v>474118900</v>
      </c>
      <c r="H27" s="319">
        <f>H28+H29+H30+H31</f>
        <v>47582</v>
      </c>
      <c r="I27" s="327">
        <f>I28+I29+I30+I31</f>
        <v>713730000</v>
      </c>
    </row>
    <row r="28" spans="1:9" s="316" customFormat="1" ht="14.25" customHeight="1" x14ac:dyDescent="0.25">
      <c r="A28" s="835"/>
      <c r="B28" s="832"/>
      <c r="C28" s="838"/>
      <c r="D28" s="273"/>
      <c r="E28" s="306" t="s">
        <v>248</v>
      </c>
      <c r="F28" s="307">
        <f>Pampanga!E12</f>
        <v>6644</v>
      </c>
      <c r="G28" s="318">
        <f>Pampanga!F12</f>
        <v>69867100</v>
      </c>
      <c r="H28" s="307">
        <f>Pampanga!G12</f>
        <v>6778</v>
      </c>
      <c r="I28" s="318">
        <f>Pampanga!H12</f>
        <v>101670000</v>
      </c>
    </row>
    <row r="29" spans="1:9" s="316" customFormat="1" ht="14.25" customHeight="1" x14ac:dyDescent="0.25">
      <c r="A29" s="835"/>
      <c r="B29" s="832"/>
      <c r="C29" s="838"/>
      <c r="D29" s="273"/>
      <c r="E29" s="306" t="s">
        <v>249</v>
      </c>
      <c r="F29" s="307">
        <f>Pampanga!E16</f>
        <v>11669</v>
      </c>
      <c r="G29" s="318">
        <f>Pampanga!F16</f>
        <v>122386000</v>
      </c>
      <c r="H29" s="307">
        <f>Pampanga!G16</f>
        <v>11990</v>
      </c>
      <c r="I29" s="318">
        <f>Pampanga!H16</f>
        <v>179850000</v>
      </c>
    </row>
    <row r="30" spans="1:9" s="316" customFormat="1" ht="14.25" customHeight="1" x14ac:dyDescent="0.25">
      <c r="A30" s="835"/>
      <c r="B30" s="832"/>
      <c r="C30" s="838"/>
      <c r="D30" s="273"/>
      <c r="E30" s="306" t="s">
        <v>288</v>
      </c>
      <c r="F30" s="307">
        <f>Pampanga!E23</f>
        <v>10891</v>
      </c>
      <c r="G30" s="318">
        <f>Pampanga!F23</f>
        <v>114679500</v>
      </c>
      <c r="H30" s="307">
        <f>Pampanga!G23</f>
        <v>11202</v>
      </c>
      <c r="I30" s="318">
        <f>Pampanga!H23</f>
        <v>168030000</v>
      </c>
    </row>
    <row r="31" spans="1:9" s="316" customFormat="1" ht="14.25" customHeight="1" x14ac:dyDescent="0.25">
      <c r="A31" s="835"/>
      <c r="B31" s="832"/>
      <c r="C31" s="838"/>
      <c r="D31" s="273"/>
      <c r="E31" s="306" t="s">
        <v>289</v>
      </c>
      <c r="F31" s="307">
        <f>Pampanga!E29</f>
        <v>17147</v>
      </c>
      <c r="G31" s="318">
        <f>Pampanga!F29</f>
        <v>167186300</v>
      </c>
      <c r="H31" s="307">
        <f>Pampanga!G29</f>
        <v>17612</v>
      </c>
      <c r="I31" s="318">
        <f>Pampanga!H29</f>
        <v>264180000</v>
      </c>
    </row>
    <row r="32" spans="1:9" s="316" customFormat="1" ht="14.25" customHeight="1" x14ac:dyDescent="0.25">
      <c r="A32" s="835"/>
      <c r="B32" s="832"/>
      <c r="C32" s="838"/>
      <c r="D32" s="300" t="s">
        <v>299</v>
      </c>
      <c r="E32" s="300"/>
      <c r="F32" s="319">
        <f>F33+F34+F35</f>
        <v>37302</v>
      </c>
      <c r="G32" s="327">
        <f>G33+G34+G35</f>
        <v>359730400</v>
      </c>
      <c r="H32" s="319">
        <f>H33+H34+H35</f>
        <v>38164</v>
      </c>
      <c r="I32" s="327">
        <f>I33+I34+I35</f>
        <v>572460000</v>
      </c>
    </row>
    <row r="33" spans="1:9" s="316" customFormat="1" ht="14.25" customHeight="1" x14ac:dyDescent="0.25">
      <c r="A33" s="835"/>
      <c r="B33" s="832"/>
      <c r="C33" s="838"/>
      <c r="D33" s="273"/>
      <c r="E33" s="306" t="s">
        <v>248</v>
      </c>
      <c r="F33" s="307">
        <f>Tarlac!E12</f>
        <v>11557</v>
      </c>
      <c r="G33" s="318">
        <f>Tarlac!F12</f>
        <v>106673600</v>
      </c>
      <c r="H33" s="307">
        <f>Tarlac!G12</f>
        <v>11904</v>
      </c>
      <c r="I33" s="318">
        <f>Tarlac!H12</f>
        <v>178560000</v>
      </c>
    </row>
    <row r="34" spans="1:9" s="316" customFormat="1" ht="14.25" customHeight="1" x14ac:dyDescent="0.25">
      <c r="A34" s="835"/>
      <c r="B34" s="832"/>
      <c r="C34" s="838"/>
      <c r="D34" s="273"/>
      <c r="E34" s="306" t="s">
        <v>249</v>
      </c>
      <c r="F34" s="307">
        <f>Tarlac!E23</f>
        <v>14607</v>
      </c>
      <c r="G34" s="318">
        <f>Tarlac!F23</f>
        <v>141126000</v>
      </c>
      <c r="H34" s="307">
        <f>Tarlac!G23</f>
        <v>14883</v>
      </c>
      <c r="I34" s="318">
        <f>Tarlac!H23</f>
        <v>223245000</v>
      </c>
    </row>
    <row r="35" spans="1:9" s="316" customFormat="1" ht="14.25" customHeight="1" x14ac:dyDescent="0.25">
      <c r="A35" s="835"/>
      <c r="B35" s="832"/>
      <c r="C35" s="838"/>
      <c r="D35" s="273"/>
      <c r="E35" s="306" t="s">
        <v>288</v>
      </c>
      <c r="F35" s="307">
        <f>Tarlac!E28</f>
        <v>11138</v>
      </c>
      <c r="G35" s="318">
        <f>Tarlac!F28</f>
        <v>111930800</v>
      </c>
      <c r="H35" s="307">
        <f>Tarlac!G28</f>
        <v>11377</v>
      </c>
      <c r="I35" s="318">
        <f>Tarlac!H28</f>
        <v>170655000</v>
      </c>
    </row>
    <row r="36" spans="1:9" s="316" customFormat="1" ht="14.25" customHeight="1" x14ac:dyDescent="0.25">
      <c r="A36" s="835"/>
      <c r="B36" s="832"/>
      <c r="C36" s="838"/>
      <c r="D36" s="300" t="s">
        <v>300</v>
      </c>
      <c r="E36" s="300"/>
      <c r="F36" s="319">
        <f>F37+F38</f>
        <v>18052</v>
      </c>
      <c r="G36" s="327">
        <f>G37+G38</f>
        <v>161668900</v>
      </c>
      <c r="H36" s="319">
        <f>H37+H38</f>
        <v>18556</v>
      </c>
      <c r="I36" s="327">
        <f>I37+I38</f>
        <v>278340000</v>
      </c>
    </row>
    <row r="37" spans="1:9" s="316" customFormat="1" ht="14.25" customHeight="1" x14ac:dyDescent="0.25">
      <c r="A37" s="835"/>
      <c r="B37" s="832"/>
      <c r="C37" s="838"/>
      <c r="D37" s="273"/>
      <c r="E37" s="306" t="s">
        <v>248</v>
      </c>
      <c r="F37" s="307">
        <f>Zambales!E12</f>
        <v>6274</v>
      </c>
      <c r="G37" s="318">
        <f>Zambales!F12</f>
        <v>56015000</v>
      </c>
      <c r="H37" s="307">
        <f>Zambales!G12</f>
        <v>6353</v>
      </c>
      <c r="I37" s="318">
        <f>Zambales!H12</f>
        <v>95295000</v>
      </c>
    </row>
    <row r="38" spans="1:9" s="316" customFormat="1" ht="14.25" customHeight="1" x14ac:dyDescent="0.25">
      <c r="A38" s="836"/>
      <c r="B38" s="833"/>
      <c r="C38" s="839"/>
      <c r="D38" s="273"/>
      <c r="E38" s="306" t="s">
        <v>249</v>
      </c>
      <c r="F38" s="307">
        <f>Zambales!E17</f>
        <v>11778</v>
      </c>
      <c r="G38" s="318">
        <f>Zambales!F17</f>
        <v>105653900</v>
      </c>
      <c r="H38" s="307">
        <f>Zambales!G17</f>
        <v>12203</v>
      </c>
      <c r="I38" s="318">
        <f>Zambales!H17</f>
        <v>183045000</v>
      </c>
    </row>
    <row r="39" spans="1:9" s="331" customFormat="1" ht="4.9000000000000004" customHeight="1" x14ac:dyDescent="0.25"/>
    <row r="40" spans="1:9" s="331" customFormat="1" ht="4.9000000000000004" customHeight="1" x14ac:dyDescent="0.25"/>
    <row r="41" spans="1:9" s="331" customFormat="1" ht="4.9000000000000004" customHeight="1" x14ac:dyDescent="0.25"/>
    <row r="42" spans="1:9" s="331" customFormat="1" ht="4.9000000000000004" customHeight="1" x14ac:dyDescent="0.25"/>
    <row r="43" spans="1:9" s="331" customFormat="1" ht="4.9000000000000004" customHeight="1" x14ac:dyDescent="0.25"/>
    <row r="44" spans="1:9" s="331" customFormat="1" ht="4.9000000000000004" customHeight="1" x14ac:dyDescent="0.25"/>
    <row r="45" spans="1:9" s="331" customFormat="1" ht="4.9000000000000004" customHeight="1" x14ac:dyDescent="0.25"/>
    <row r="46" spans="1:9" s="331" customFormat="1" ht="4.9000000000000004" customHeight="1" x14ac:dyDescent="0.25"/>
    <row r="47" spans="1:9" s="331" customFormat="1" ht="4.9000000000000004" customHeight="1" x14ac:dyDescent="0.25"/>
    <row r="48" spans="1:9" s="331" customFormat="1" ht="4.9000000000000004" customHeight="1" x14ac:dyDescent="0.25"/>
    <row r="49" spans="1:9" s="331" customFormat="1" ht="4.9000000000000004" customHeight="1" x14ac:dyDescent="0.25"/>
    <row r="50" spans="1:9" s="331" customFormat="1" ht="4.9000000000000004" customHeight="1" x14ac:dyDescent="0.25"/>
    <row r="51" spans="1:9" s="331" customFormat="1" ht="4.9000000000000004" customHeight="1" x14ac:dyDescent="0.25"/>
    <row r="52" spans="1:9" s="331" customFormat="1" ht="4.9000000000000004" customHeight="1" x14ac:dyDescent="0.25"/>
    <row r="53" spans="1:9" s="331" customFormat="1" ht="4.9000000000000004" customHeight="1" x14ac:dyDescent="0.25"/>
    <row r="54" spans="1:9" s="331" customFormat="1" ht="4.9000000000000004" customHeight="1" x14ac:dyDescent="0.25"/>
    <row r="55" spans="1:9" s="322" customFormat="1" ht="27" customHeight="1" x14ac:dyDescent="0.25">
      <c r="A55" s="819" t="s">
        <v>61</v>
      </c>
      <c r="B55" s="831" t="s">
        <v>62</v>
      </c>
      <c r="C55" s="840" t="s">
        <v>21</v>
      </c>
      <c r="D55" s="332"/>
      <c r="E55" s="120" t="s">
        <v>81</v>
      </c>
      <c r="F55" s="330">
        <f>F56+F58+F61+F67+F72+F77+F81</f>
        <v>2097</v>
      </c>
      <c r="G55" s="274">
        <f>G56+G58+G61+G67+G72+G77+G81</f>
        <v>9686900</v>
      </c>
      <c r="H55" s="274">
        <f>H56+H58+H61+H67+H72+H77+H81</f>
        <v>0</v>
      </c>
      <c r="I55" s="274">
        <f>I56+I58+I61+I67+I72+I77+I81</f>
        <v>0</v>
      </c>
    </row>
    <row r="56" spans="1:9" s="312" customFormat="1" ht="18.75" customHeight="1" x14ac:dyDescent="0.25">
      <c r="A56" s="820"/>
      <c r="B56" s="832"/>
      <c r="C56" s="841"/>
      <c r="D56" s="333" t="s">
        <v>294</v>
      </c>
      <c r="E56" s="298"/>
      <c r="F56" s="298">
        <f>F57</f>
        <v>280</v>
      </c>
      <c r="G56" s="326">
        <f>G57</f>
        <v>1477800</v>
      </c>
      <c r="H56" s="326">
        <f>H57</f>
        <v>0</v>
      </c>
      <c r="I56" s="326">
        <f>I57</f>
        <v>0</v>
      </c>
    </row>
    <row r="57" spans="1:9" s="322" customFormat="1" ht="18.75" customHeight="1" x14ac:dyDescent="0.25">
      <c r="A57" s="820"/>
      <c r="B57" s="832"/>
      <c r="C57" s="841"/>
      <c r="D57" s="334" t="s">
        <v>246</v>
      </c>
      <c r="E57" s="301" t="s">
        <v>250</v>
      </c>
      <c r="F57" s="302">
        <f>Aurora!E20</f>
        <v>280</v>
      </c>
      <c r="G57" s="321">
        <f>Aurora!F20</f>
        <v>1477800</v>
      </c>
      <c r="H57" s="302"/>
      <c r="I57" s="321"/>
    </row>
    <row r="58" spans="1:9" s="316" customFormat="1" ht="14.25" customHeight="1" x14ac:dyDescent="0.25">
      <c r="A58" s="820"/>
      <c r="B58" s="832"/>
      <c r="C58" s="841"/>
      <c r="D58" s="335" t="s">
        <v>295</v>
      </c>
      <c r="E58" s="300"/>
      <c r="F58" s="317">
        <f>F59+F60</f>
        <v>187</v>
      </c>
      <c r="G58" s="327">
        <f>G59+G60</f>
        <v>1155400</v>
      </c>
      <c r="H58" s="317">
        <f>H59+H60</f>
        <v>0</v>
      </c>
      <c r="I58" s="317">
        <f>I59+I60</f>
        <v>0</v>
      </c>
    </row>
    <row r="59" spans="1:9" s="316" customFormat="1" ht="15" customHeight="1" x14ac:dyDescent="0.25">
      <c r="A59" s="820"/>
      <c r="B59" s="832"/>
      <c r="C59" s="841"/>
      <c r="D59" s="334"/>
      <c r="E59" s="306" t="s">
        <v>248</v>
      </c>
      <c r="F59" s="307">
        <f>Bataan!E28</f>
        <v>50</v>
      </c>
      <c r="G59" s="318">
        <f>Bataan!F28</f>
        <v>293300</v>
      </c>
      <c r="H59" s="307"/>
      <c r="I59" s="318"/>
    </row>
    <row r="60" spans="1:9" s="316" customFormat="1" ht="15" customHeight="1" x14ac:dyDescent="0.25">
      <c r="A60" s="820"/>
      <c r="B60" s="832"/>
      <c r="C60" s="841"/>
      <c r="D60" s="334"/>
      <c r="E60" s="306" t="s">
        <v>249</v>
      </c>
      <c r="F60" s="307">
        <f>Bataan!E35</f>
        <v>137</v>
      </c>
      <c r="G60" s="318">
        <f>Bataan!F35</f>
        <v>862100</v>
      </c>
      <c r="H60" s="307"/>
      <c r="I60" s="318"/>
    </row>
    <row r="61" spans="1:9" s="316" customFormat="1" ht="14.25" customHeight="1" x14ac:dyDescent="0.25">
      <c r="A61" s="820"/>
      <c r="B61" s="832"/>
      <c r="C61" s="841"/>
      <c r="D61" s="335" t="s">
        <v>296</v>
      </c>
      <c r="E61" s="300"/>
      <c r="F61" s="317">
        <f>F62+F63+F64+F65+F66</f>
        <v>257</v>
      </c>
      <c r="G61" s="327">
        <f>G62+G63+G64+G65+G66</f>
        <v>891700</v>
      </c>
      <c r="H61" s="317">
        <f>H62+H63+H64+H65+H66</f>
        <v>0</v>
      </c>
      <c r="I61" s="327">
        <f>I62+I63+I64+I65+I66</f>
        <v>0</v>
      </c>
    </row>
    <row r="62" spans="1:9" s="316" customFormat="1" ht="15" customHeight="1" x14ac:dyDescent="0.25">
      <c r="A62" s="820"/>
      <c r="B62" s="832"/>
      <c r="C62" s="841"/>
      <c r="D62" s="334"/>
      <c r="E62" s="306" t="s">
        <v>248</v>
      </c>
      <c r="F62" s="307">
        <f>Bulacan!E43</f>
        <v>161</v>
      </c>
      <c r="G62" s="318">
        <f>Bulacan!F43</f>
        <v>319200</v>
      </c>
      <c r="H62" s="307"/>
      <c r="I62" s="318"/>
    </row>
    <row r="63" spans="1:9" s="316" customFormat="1" ht="15" customHeight="1" x14ac:dyDescent="0.25">
      <c r="A63" s="820"/>
      <c r="B63" s="832"/>
      <c r="C63" s="841"/>
      <c r="D63" s="334"/>
      <c r="E63" s="306" t="s">
        <v>249</v>
      </c>
      <c r="F63" s="307">
        <f>Bulacan!E50</f>
        <v>33</v>
      </c>
      <c r="G63" s="318">
        <f>Bulacan!F50</f>
        <v>239700</v>
      </c>
      <c r="H63" s="307"/>
      <c r="I63" s="318"/>
    </row>
    <row r="64" spans="1:9" s="316" customFormat="1" ht="15" customHeight="1" x14ac:dyDescent="0.25">
      <c r="A64" s="820"/>
      <c r="B64" s="832"/>
      <c r="C64" s="841"/>
      <c r="D64" s="334"/>
      <c r="E64" s="306" t="s">
        <v>288</v>
      </c>
      <c r="F64" s="307">
        <f>Bulacan!E58</f>
        <v>63</v>
      </c>
      <c r="G64" s="318">
        <f>Bulacan!F58</f>
        <v>332800</v>
      </c>
      <c r="H64" s="307"/>
      <c r="I64" s="318"/>
    </row>
    <row r="65" spans="1:9" s="316" customFormat="1" ht="15" customHeight="1" x14ac:dyDescent="0.25">
      <c r="A65" s="820"/>
      <c r="B65" s="832"/>
      <c r="C65" s="841"/>
      <c r="D65" s="334"/>
      <c r="E65" s="306" t="s">
        <v>289</v>
      </c>
      <c r="F65" s="307">
        <f>Bulacan!E65</f>
        <v>0</v>
      </c>
      <c r="G65" s="318">
        <f>Bulacan!F65</f>
        <v>0</v>
      </c>
      <c r="H65" s="307"/>
      <c r="I65" s="318"/>
    </row>
    <row r="66" spans="1:9" s="316" customFormat="1" ht="15" customHeight="1" x14ac:dyDescent="0.25">
      <c r="A66" s="820"/>
      <c r="B66" s="832"/>
      <c r="C66" s="841"/>
      <c r="D66" s="334"/>
      <c r="E66" s="306" t="s">
        <v>290</v>
      </c>
      <c r="F66" s="307">
        <f>Bulacan!E70</f>
        <v>0</v>
      </c>
      <c r="G66" s="318">
        <f>Bulacan!F70</f>
        <v>0</v>
      </c>
      <c r="H66" s="307"/>
      <c r="I66" s="318"/>
    </row>
    <row r="67" spans="1:9" s="316" customFormat="1" ht="14.25" customHeight="1" x14ac:dyDescent="0.25">
      <c r="A67" s="820"/>
      <c r="B67" s="832"/>
      <c r="C67" s="841"/>
      <c r="D67" s="335" t="s">
        <v>297</v>
      </c>
      <c r="E67" s="300"/>
      <c r="F67" s="319">
        <f>F68+F69+F70+F71</f>
        <v>881</v>
      </c>
      <c r="G67" s="327">
        <f>G68+G69+G70+G71</f>
        <v>3476400</v>
      </c>
      <c r="H67" s="319">
        <f>H68+H69+H70+H71</f>
        <v>0</v>
      </c>
      <c r="I67" s="327">
        <f>I68+I69+I70+I71</f>
        <v>0</v>
      </c>
    </row>
    <row r="68" spans="1:9" s="316" customFormat="1" ht="15" customHeight="1" x14ac:dyDescent="0.25">
      <c r="A68" s="820"/>
      <c r="B68" s="832"/>
      <c r="C68" s="841"/>
      <c r="D68" s="334"/>
      <c r="E68" s="306" t="s">
        <v>248</v>
      </c>
      <c r="F68" s="320">
        <f>'Nueva Ecija'!E54</f>
        <v>46</v>
      </c>
      <c r="G68" s="318">
        <f>'Nueva Ecija'!F54</f>
        <v>226600</v>
      </c>
      <c r="H68" s="320"/>
      <c r="I68" s="318"/>
    </row>
    <row r="69" spans="1:9" s="316" customFormat="1" ht="15" customHeight="1" x14ac:dyDescent="0.25">
      <c r="A69" s="820"/>
      <c r="B69" s="832"/>
      <c r="C69" s="841"/>
      <c r="D69" s="334"/>
      <c r="E69" s="306" t="s">
        <v>249</v>
      </c>
      <c r="F69" s="307">
        <f>'Nueva Ecija'!E64</f>
        <v>88</v>
      </c>
      <c r="G69" s="318">
        <f>'Nueva Ecija'!F64</f>
        <v>381500</v>
      </c>
      <c r="H69" s="307"/>
      <c r="I69" s="318"/>
    </row>
    <row r="70" spans="1:9" s="316" customFormat="1" ht="15" customHeight="1" x14ac:dyDescent="0.25">
      <c r="A70" s="820"/>
      <c r="B70" s="832"/>
      <c r="C70" s="841"/>
      <c r="D70" s="334"/>
      <c r="E70" s="306" t="s">
        <v>288</v>
      </c>
      <c r="F70" s="307">
        <f>'Nueva Ecija'!E73</f>
        <v>612</v>
      </c>
      <c r="G70" s="318">
        <f>'Nueva Ecija'!F73</f>
        <v>2656300</v>
      </c>
      <c r="H70" s="307"/>
      <c r="I70" s="318"/>
    </row>
    <row r="71" spans="1:9" s="316" customFormat="1" ht="15" customHeight="1" x14ac:dyDescent="0.25">
      <c r="A71" s="820"/>
      <c r="B71" s="832"/>
      <c r="C71" s="841"/>
      <c r="D71" s="334"/>
      <c r="E71" s="306" t="s">
        <v>289</v>
      </c>
      <c r="F71" s="307">
        <f>'Nueva Ecija'!E83</f>
        <v>135</v>
      </c>
      <c r="G71" s="318">
        <f>'Nueva Ecija'!F83</f>
        <v>212000</v>
      </c>
      <c r="H71" s="307"/>
      <c r="I71" s="318"/>
    </row>
    <row r="72" spans="1:9" s="316" customFormat="1" ht="14.25" customHeight="1" x14ac:dyDescent="0.25">
      <c r="A72" s="820"/>
      <c r="B72" s="832"/>
      <c r="C72" s="841"/>
      <c r="D72" s="335" t="s">
        <v>298</v>
      </c>
      <c r="E72" s="300"/>
      <c r="F72" s="319">
        <f>F73+F74+F75+F76</f>
        <v>254</v>
      </c>
      <c r="G72" s="327">
        <f>G73+G74+G75+G76</f>
        <v>1392100</v>
      </c>
      <c r="H72" s="319">
        <f>H73+H74+H75+H76</f>
        <v>0</v>
      </c>
      <c r="I72" s="327">
        <f>I73+I74+I75+I76</f>
        <v>0</v>
      </c>
    </row>
    <row r="73" spans="1:9" s="316" customFormat="1" ht="15" customHeight="1" x14ac:dyDescent="0.25">
      <c r="A73" s="820"/>
      <c r="B73" s="832"/>
      <c r="C73" s="841"/>
      <c r="D73" s="334"/>
      <c r="E73" s="306" t="s">
        <v>248</v>
      </c>
      <c r="F73" s="307">
        <f>Pampanga!E52</f>
        <v>203</v>
      </c>
      <c r="G73" s="318">
        <f>Pampanga!F52</f>
        <v>1136800</v>
      </c>
      <c r="H73" s="307"/>
      <c r="I73" s="307"/>
    </row>
    <row r="74" spans="1:9" s="316" customFormat="1" ht="15" customHeight="1" x14ac:dyDescent="0.25">
      <c r="A74" s="820"/>
      <c r="B74" s="832"/>
      <c r="C74" s="841"/>
      <c r="D74" s="334"/>
      <c r="E74" s="306" t="s">
        <v>249</v>
      </c>
      <c r="F74" s="307">
        <f>Pampanga!E56</f>
        <v>24</v>
      </c>
      <c r="G74" s="318">
        <f>Pampanga!F56</f>
        <v>121100</v>
      </c>
      <c r="H74" s="307"/>
      <c r="I74" s="307"/>
    </row>
    <row r="75" spans="1:9" s="316" customFormat="1" ht="15" customHeight="1" x14ac:dyDescent="0.25">
      <c r="A75" s="820"/>
      <c r="B75" s="832"/>
      <c r="C75" s="841"/>
      <c r="D75" s="334"/>
      <c r="E75" s="306" t="s">
        <v>288</v>
      </c>
      <c r="F75" s="307">
        <f>Pampanga!E63</f>
        <v>0</v>
      </c>
      <c r="G75" s="318">
        <f>Pampanga!F63</f>
        <v>0</v>
      </c>
      <c r="H75" s="307"/>
      <c r="I75" s="307"/>
    </row>
    <row r="76" spans="1:9" s="316" customFormat="1" ht="15" customHeight="1" x14ac:dyDescent="0.25">
      <c r="A76" s="820"/>
      <c r="B76" s="832"/>
      <c r="C76" s="841"/>
      <c r="D76" s="334"/>
      <c r="E76" s="306" t="s">
        <v>289</v>
      </c>
      <c r="F76" s="307">
        <f>Pampanga!E69</f>
        <v>27</v>
      </c>
      <c r="G76" s="318">
        <f>Pampanga!F69</f>
        <v>134200</v>
      </c>
      <c r="H76" s="307"/>
      <c r="I76" s="307"/>
    </row>
    <row r="77" spans="1:9" s="316" customFormat="1" ht="14.25" customHeight="1" x14ac:dyDescent="0.25">
      <c r="A77" s="820"/>
      <c r="B77" s="832"/>
      <c r="C77" s="841"/>
      <c r="D77" s="335" t="s">
        <v>299</v>
      </c>
      <c r="E77" s="300"/>
      <c r="F77" s="319">
        <f>F78+F79+F80</f>
        <v>56</v>
      </c>
      <c r="G77" s="327">
        <f>G78+G79+G80</f>
        <v>285100</v>
      </c>
      <c r="H77" s="319">
        <f>H78+H79+H80</f>
        <v>0</v>
      </c>
      <c r="I77" s="327">
        <f>I78+I79+I80</f>
        <v>0</v>
      </c>
    </row>
    <row r="78" spans="1:9" s="316" customFormat="1" ht="15" customHeight="1" x14ac:dyDescent="0.25">
      <c r="A78" s="820"/>
      <c r="B78" s="832"/>
      <c r="C78" s="841"/>
      <c r="D78" s="334"/>
      <c r="E78" s="306" t="s">
        <v>248</v>
      </c>
      <c r="F78" s="307">
        <f>Tarlac!E35</f>
        <v>56</v>
      </c>
      <c r="G78" s="318">
        <f>Tarlac!F35</f>
        <v>285100</v>
      </c>
      <c r="H78" s="307"/>
      <c r="I78" s="318"/>
    </row>
    <row r="79" spans="1:9" s="316" customFormat="1" ht="15" customHeight="1" x14ac:dyDescent="0.25">
      <c r="A79" s="820"/>
      <c r="B79" s="832"/>
      <c r="C79" s="841"/>
      <c r="D79" s="334"/>
      <c r="E79" s="306" t="s">
        <v>249</v>
      </c>
      <c r="F79" s="307">
        <f>Tarlac!E46</f>
        <v>0</v>
      </c>
      <c r="G79" s="318">
        <f>Tarlac!F46</f>
        <v>0</v>
      </c>
      <c r="H79" s="307"/>
      <c r="I79" s="318"/>
    </row>
    <row r="80" spans="1:9" s="316" customFormat="1" ht="15" customHeight="1" x14ac:dyDescent="0.25">
      <c r="A80" s="820"/>
      <c r="B80" s="832"/>
      <c r="C80" s="841"/>
      <c r="D80" s="334"/>
      <c r="E80" s="306" t="s">
        <v>288</v>
      </c>
      <c r="F80" s="307">
        <f>Tarlac!E51</f>
        <v>0</v>
      </c>
      <c r="G80" s="318">
        <f>Tarlac!F51</f>
        <v>0</v>
      </c>
      <c r="H80" s="307"/>
      <c r="I80" s="318"/>
    </row>
    <row r="81" spans="1:9" s="316" customFormat="1" ht="14.25" customHeight="1" x14ac:dyDescent="0.25">
      <c r="A81" s="820"/>
      <c r="B81" s="832"/>
      <c r="C81" s="841"/>
      <c r="D81" s="335" t="s">
        <v>300</v>
      </c>
      <c r="E81" s="300"/>
      <c r="F81" s="319">
        <f>F82+F83</f>
        <v>182</v>
      </c>
      <c r="G81" s="327">
        <f>G82+G83</f>
        <v>1008400</v>
      </c>
      <c r="H81" s="319">
        <f>H82+H83</f>
        <v>0</v>
      </c>
      <c r="I81" s="327">
        <f>I82+I83</f>
        <v>0</v>
      </c>
    </row>
    <row r="82" spans="1:9" s="316" customFormat="1" ht="15" customHeight="1" x14ac:dyDescent="0.25">
      <c r="A82" s="820"/>
      <c r="B82" s="832"/>
      <c r="C82" s="841"/>
      <c r="D82" s="334"/>
      <c r="E82" s="306" t="s">
        <v>248</v>
      </c>
      <c r="F82" s="307">
        <f>Zambales!E30</f>
        <v>182</v>
      </c>
      <c r="G82" s="318">
        <f>Zambales!F30</f>
        <v>1008400</v>
      </c>
      <c r="H82" s="307"/>
      <c r="I82" s="318"/>
    </row>
    <row r="83" spans="1:9" s="316" customFormat="1" ht="15" customHeight="1" x14ac:dyDescent="0.25">
      <c r="A83" s="821"/>
      <c r="B83" s="833"/>
      <c r="C83" s="842"/>
      <c r="D83" s="334"/>
      <c r="E83" s="306" t="s">
        <v>249</v>
      </c>
      <c r="F83" s="307">
        <f>Zambales!E35</f>
        <v>0</v>
      </c>
      <c r="G83" s="318">
        <f>Zambales!F35</f>
        <v>0</v>
      </c>
      <c r="H83" s="307"/>
      <c r="I83" s="318"/>
    </row>
    <row r="84" spans="1:9" s="336" customFormat="1" ht="15" customHeight="1" x14ac:dyDescent="0.25">
      <c r="B84" s="50"/>
      <c r="D84" s="337"/>
      <c r="F84" s="338"/>
      <c r="G84" s="339"/>
      <c r="H84" s="338"/>
      <c r="I84" s="339"/>
    </row>
    <row r="85" spans="1:9" s="336" customFormat="1" ht="15" customHeight="1" x14ac:dyDescent="0.25">
      <c r="B85" s="50"/>
      <c r="D85" s="337"/>
      <c r="F85" s="338"/>
      <c r="G85" s="339"/>
      <c r="H85" s="338"/>
      <c r="I85" s="339"/>
    </row>
    <row r="86" spans="1:9" s="336" customFormat="1" ht="15" customHeight="1" x14ac:dyDescent="0.25">
      <c r="B86" s="50"/>
      <c r="D86" s="337"/>
      <c r="F86" s="338"/>
      <c r="G86" s="339"/>
      <c r="H86" s="338"/>
      <c r="I86" s="339"/>
    </row>
    <row r="87" spans="1:9" s="336" customFormat="1" ht="15" customHeight="1" x14ac:dyDescent="0.25">
      <c r="B87" s="50"/>
      <c r="D87" s="337"/>
      <c r="F87" s="338"/>
      <c r="G87" s="339"/>
      <c r="H87" s="338"/>
      <c r="I87" s="339"/>
    </row>
    <row r="88" spans="1:9" s="336" customFormat="1" ht="15" customHeight="1" x14ac:dyDescent="0.25">
      <c r="B88" s="50"/>
      <c r="D88" s="337"/>
      <c r="F88" s="338"/>
      <c r="G88" s="339"/>
      <c r="H88" s="338"/>
      <c r="I88" s="339"/>
    </row>
    <row r="89" spans="1:9" s="316" customFormat="1" ht="15" customHeight="1" x14ac:dyDescent="0.25">
      <c r="A89" s="820" t="s">
        <v>7</v>
      </c>
      <c r="B89" s="832" t="s">
        <v>52</v>
      </c>
      <c r="C89" s="840" t="s">
        <v>53</v>
      </c>
      <c r="D89" s="268"/>
      <c r="E89" s="120" t="s">
        <v>81</v>
      </c>
      <c r="F89" s="330">
        <f>F90+F92+F95+F101+F106+F111+F115</f>
        <v>5892</v>
      </c>
      <c r="G89" s="274">
        <f>G90+G92+G95+G101+G106+G111+G115</f>
        <v>38628000</v>
      </c>
      <c r="H89" s="330">
        <f>H90+H92+H95+H101+H106+H111+H115</f>
        <v>15716</v>
      </c>
      <c r="I89" s="274">
        <f>I90+I92+I95+I101+I106+I111+I115</f>
        <v>78580000</v>
      </c>
    </row>
    <row r="90" spans="1:9" s="312" customFormat="1" ht="18.75" customHeight="1" x14ac:dyDescent="0.25">
      <c r="A90" s="820"/>
      <c r="B90" s="832"/>
      <c r="C90" s="841"/>
      <c r="D90" s="299" t="s">
        <v>294</v>
      </c>
      <c r="E90" s="298"/>
      <c r="F90" s="298">
        <f>F91</f>
        <v>410</v>
      </c>
      <c r="G90" s="326">
        <f>G91</f>
        <v>3227000</v>
      </c>
      <c r="H90" s="298">
        <f>H91</f>
        <v>820</v>
      </c>
      <c r="I90" s="326">
        <f>I91</f>
        <v>4100000</v>
      </c>
    </row>
    <row r="91" spans="1:9" s="316" customFormat="1" ht="15" customHeight="1" x14ac:dyDescent="0.25">
      <c r="A91" s="820"/>
      <c r="B91" s="832"/>
      <c r="C91" s="841"/>
      <c r="D91" s="273"/>
      <c r="E91" s="301" t="s">
        <v>250</v>
      </c>
      <c r="F91" s="302">
        <f>Aurora!E30</f>
        <v>410</v>
      </c>
      <c r="G91" s="321">
        <f>Aurora!F30</f>
        <v>3227000</v>
      </c>
      <c r="H91" s="302">
        <f>Aurora!G30</f>
        <v>820</v>
      </c>
      <c r="I91" s="321">
        <f>Aurora!H30</f>
        <v>4100000</v>
      </c>
    </row>
    <row r="92" spans="1:9" s="316" customFormat="1" ht="14.25" customHeight="1" x14ac:dyDescent="0.25">
      <c r="A92" s="820"/>
      <c r="B92" s="832"/>
      <c r="C92" s="841"/>
      <c r="D92" s="300" t="s">
        <v>295</v>
      </c>
      <c r="E92" s="300"/>
      <c r="F92" s="317">
        <f>F93+F94</f>
        <v>335</v>
      </c>
      <c r="G92" s="327">
        <f>G93+G94</f>
        <v>1925000</v>
      </c>
      <c r="H92" s="317">
        <f>H93+H94</f>
        <v>780</v>
      </c>
      <c r="I92" s="327">
        <f>I93+I94</f>
        <v>3900000</v>
      </c>
    </row>
    <row r="93" spans="1:9" s="316" customFormat="1" ht="15" customHeight="1" x14ac:dyDescent="0.25">
      <c r="A93" s="820"/>
      <c r="B93" s="832"/>
      <c r="C93" s="841"/>
      <c r="D93" s="273"/>
      <c r="E93" s="306" t="s">
        <v>248</v>
      </c>
      <c r="F93" s="307">
        <f>Bataan!E44</f>
        <v>170</v>
      </c>
      <c r="G93" s="318">
        <f>Bataan!F44</f>
        <v>925000</v>
      </c>
      <c r="H93" s="307">
        <f>Bataan!G44</f>
        <v>380</v>
      </c>
      <c r="I93" s="318">
        <f>Bataan!H44</f>
        <v>1900000</v>
      </c>
    </row>
    <row r="94" spans="1:9" s="316" customFormat="1" ht="15" customHeight="1" x14ac:dyDescent="0.25">
      <c r="A94" s="820"/>
      <c r="B94" s="832"/>
      <c r="C94" s="841"/>
      <c r="D94" s="273"/>
      <c r="E94" s="306" t="s">
        <v>249</v>
      </c>
      <c r="F94" s="307">
        <f>Bataan!E51</f>
        <v>165</v>
      </c>
      <c r="G94" s="318">
        <f>Bataan!F51</f>
        <v>1000000</v>
      </c>
      <c r="H94" s="307">
        <f>Bataan!G51</f>
        <v>400</v>
      </c>
      <c r="I94" s="318">
        <f>Bataan!H51</f>
        <v>2000000</v>
      </c>
    </row>
    <row r="95" spans="1:9" s="316" customFormat="1" ht="14.25" customHeight="1" x14ac:dyDescent="0.25">
      <c r="A95" s="820"/>
      <c r="B95" s="832"/>
      <c r="C95" s="841"/>
      <c r="D95" s="300" t="s">
        <v>296</v>
      </c>
      <c r="E95" s="300"/>
      <c r="F95" s="317">
        <f>F96+F97+F98+F99+F100</f>
        <v>1021</v>
      </c>
      <c r="G95" s="327">
        <f>G96+G97+G98+G99+G100</f>
        <v>9230000</v>
      </c>
      <c r="H95" s="317">
        <f>H96+H97+H98+H99+H100</f>
        <v>3678</v>
      </c>
      <c r="I95" s="327">
        <f>I96+I97+I98+I99+I100</f>
        <v>18390000</v>
      </c>
    </row>
    <row r="96" spans="1:9" s="316" customFormat="1" ht="15" customHeight="1" x14ac:dyDescent="0.25">
      <c r="A96" s="820"/>
      <c r="B96" s="832"/>
      <c r="C96" s="841"/>
      <c r="D96" s="273"/>
      <c r="E96" s="306" t="s">
        <v>248</v>
      </c>
      <c r="F96" s="307">
        <f>Bulacan!E74</f>
        <v>214</v>
      </c>
      <c r="G96" s="318">
        <f>Bulacan!F74</f>
        <v>1635000</v>
      </c>
      <c r="H96" s="307">
        <f>Bulacan!G74</f>
        <v>840</v>
      </c>
      <c r="I96" s="318">
        <f>Bulacan!H74</f>
        <v>4200000</v>
      </c>
    </row>
    <row r="97" spans="1:9" s="316" customFormat="1" ht="15" customHeight="1" x14ac:dyDescent="0.25">
      <c r="A97" s="820"/>
      <c r="B97" s="832"/>
      <c r="C97" s="841"/>
      <c r="D97" s="273"/>
      <c r="E97" s="306" t="s">
        <v>249</v>
      </c>
      <c r="F97" s="307">
        <f>Bulacan!E81</f>
        <v>357</v>
      </c>
      <c r="G97" s="318">
        <f>Bulacan!F81</f>
        <v>2770000</v>
      </c>
      <c r="H97" s="307">
        <f>Bulacan!G81</f>
        <v>820</v>
      </c>
      <c r="I97" s="318">
        <f>Bulacan!H81</f>
        <v>4100000</v>
      </c>
    </row>
    <row r="98" spans="1:9" s="316" customFormat="1" ht="15" customHeight="1" x14ac:dyDescent="0.25">
      <c r="A98" s="820"/>
      <c r="B98" s="832"/>
      <c r="C98" s="841"/>
      <c r="D98" s="273"/>
      <c r="E98" s="306" t="s">
        <v>288</v>
      </c>
      <c r="F98" s="307">
        <f>Bulacan!E89</f>
        <v>228</v>
      </c>
      <c r="G98" s="318">
        <f>Bulacan!F89</f>
        <v>2570000</v>
      </c>
      <c r="H98" s="307">
        <f>Bulacan!G89</f>
        <v>1300</v>
      </c>
      <c r="I98" s="318">
        <f>Bulacan!H89</f>
        <v>6500000</v>
      </c>
    </row>
    <row r="99" spans="1:9" s="316" customFormat="1" ht="15" customHeight="1" x14ac:dyDescent="0.25">
      <c r="A99" s="820"/>
      <c r="B99" s="832"/>
      <c r="C99" s="841"/>
      <c r="D99" s="273"/>
      <c r="E99" s="306" t="s">
        <v>289</v>
      </c>
      <c r="F99" s="307">
        <f>Bulacan!E96</f>
        <v>87</v>
      </c>
      <c r="G99" s="318">
        <f>Bulacan!F96</f>
        <v>860000</v>
      </c>
      <c r="H99" s="307">
        <f>Bulacan!G96</f>
        <v>398</v>
      </c>
      <c r="I99" s="318">
        <f>Bulacan!H96</f>
        <v>1990000</v>
      </c>
    </row>
    <row r="100" spans="1:9" s="316" customFormat="1" ht="15" customHeight="1" x14ac:dyDescent="0.25">
      <c r="A100" s="820"/>
      <c r="B100" s="832"/>
      <c r="C100" s="841"/>
      <c r="D100" s="273"/>
      <c r="E100" s="306" t="s">
        <v>290</v>
      </c>
      <c r="F100" s="307">
        <f>Bulacan!E101</f>
        <v>135</v>
      </c>
      <c r="G100" s="318">
        <f>Bulacan!F101</f>
        <v>1395000</v>
      </c>
      <c r="H100" s="307">
        <f>Bulacan!G101</f>
        <v>320</v>
      </c>
      <c r="I100" s="318">
        <f>Bulacan!H101</f>
        <v>1600000</v>
      </c>
    </row>
    <row r="101" spans="1:9" s="316" customFormat="1" ht="14.25" customHeight="1" x14ac:dyDescent="0.25">
      <c r="A101" s="820"/>
      <c r="B101" s="832"/>
      <c r="C101" s="841"/>
      <c r="D101" s="300" t="s">
        <v>297</v>
      </c>
      <c r="E101" s="300"/>
      <c r="F101" s="319">
        <f>F102+F103+F104+F105</f>
        <v>2135</v>
      </c>
      <c r="G101" s="327">
        <f>G102+G103+G104+G105</f>
        <v>11839000</v>
      </c>
      <c r="H101" s="319">
        <f>H102+H103+H104+H105</f>
        <v>3009</v>
      </c>
      <c r="I101" s="327">
        <f>I102+I103+I104+I105</f>
        <v>15045000</v>
      </c>
    </row>
    <row r="102" spans="1:9" s="316" customFormat="1" ht="15" customHeight="1" x14ac:dyDescent="0.25">
      <c r="A102" s="820"/>
      <c r="B102" s="832"/>
      <c r="C102" s="841"/>
      <c r="D102" s="273"/>
      <c r="E102" s="306" t="s">
        <v>248</v>
      </c>
      <c r="F102" s="320">
        <f>'Nueva Ecija'!E94</f>
        <v>526</v>
      </c>
      <c r="G102" s="318">
        <f>'Nueva Ecija'!F94</f>
        <v>3014000</v>
      </c>
      <c r="H102" s="320">
        <f>'Nueva Ecija'!G94</f>
        <v>1240</v>
      </c>
      <c r="I102" s="318">
        <f>'Nueva Ecija'!H94</f>
        <v>6200000</v>
      </c>
    </row>
    <row r="103" spans="1:9" s="316" customFormat="1" ht="15" customHeight="1" x14ac:dyDescent="0.25">
      <c r="A103" s="820"/>
      <c r="B103" s="832"/>
      <c r="C103" s="841"/>
      <c r="D103" s="273"/>
      <c r="E103" s="306" t="s">
        <v>249</v>
      </c>
      <c r="F103" s="307">
        <f>'Nueva Ecija'!E104</f>
        <v>955</v>
      </c>
      <c r="G103" s="318">
        <f>'Nueva Ecija'!F104</f>
        <v>4950000</v>
      </c>
      <c r="H103" s="307">
        <f>'Nueva Ecija'!G104</f>
        <v>510</v>
      </c>
      <c r="I103" s="318">
        <f>'Nueva Ecija'!H104</f>
        <v>2550000</v>
      </c>
    </row>
    <row r="104" spans="1:9" s="316" customFormat="1" ht="15" customHeight="1" x14ac:dyDescent="0.25">
      <c r="A104" s="820"/>
      <c r="B104" s="832"/>
      <c r="C104" s="841"/>
      <c r="D104" s="273"/>
      <c r="E104" s="306" t="s">
        <v>288</v>
      </c>
      <c r="F104" s="307">
        <f>'Nueva Ecija'!E113</f>
        <v>605</v>
      </c>
      <c r="G104" s="318">
        <f>'Nueva Ecija'!F113</f>
        <v>3630000</v>
      </c>
      <c r="H104" s="307">
        <f>'Nueva Ecija'!G113</f>
        <v>829</v>
      </c>
      <c r="I104" s="318">
        <f>'Nueva Ecija'!H113</f>
        <v>4145000</v>
      </c>
    </row>
    <row r="105" spans="1:9" s="316" customFormat="1" ht="15" customHeight="1" x14ac:dyDescent="0.25">
      <c r="A105" s="820"/>
      <c r="B105" s="832"/>
      <c r="C105" s="841"/>
      <c r="D105" s="273"/>
      <c r="E105" s="306" t="s">
        <v>289</v>
      </c>
      <c r="F105" s="307">
        <f>'Nueva Ecija'!E121</f>
        <v>49</v>
      </c>
      <c r="G105" s="318">
        <f>'Nueva Ecija'!F121</f>
        <v>245000</v>
      </c>
      <c r="H105" s="307">
        <f>'Nueva Ecija'!G121</f>
        <v>430</v>
      </c>
      <c r="I105" s="318">
        <f>'Nueva Ecija'!H121</f>
        <v>2150000</v>
      </c>
    </row>
    <row r="106" spans="1:9" s="316" customFormat="1" ht="14.25" customHeight="1" x14ac:dyDescent="0.25">
      <c r="A106" s="820"/>
      <c r="B106" s="832"/>
      <c r="C106" s="841"/>
      <c r="D106" s="300" t="s">
        <v>298</v>
      </c>
      <c r="E106" s="300"/>
      <c r="F106" s="319">
        <f>F107+F108+F109+F110</f>
        <v>1513</v>
      </c>
      <c r="G106" s="327">
        <f>G107+G108+G109+G110</f>
        <v>9014000</v>
      </c>
      <c r="H106" s="319">
        <f>H107+H108+H109+H110</f>
        <v>2472</v>
      </c>
      <c r="I106" s="327">
        <f>I107+I108+I109+I110</f>
        <v>12360000</v>
      </c>
    </row>
    <row r="107" spans="1:9" s="316" customFormat="1" ht="15" customHeight="1" x14ac:dyDescent="0.25">
      <c r="A107" s="820"/>
      <c r="B107" s="832"/>
      <c r="C107" s="841"/>
      <c r="D107" s="273"/>
      <c r="E107" s="306" t="s">
        <v>248</v>
      </c>
      <c r="F107" s="307">
        <f>Pampanga!E80</f>
        <v>270</v>
      </c>
      <c r="G107" s="318">
        <f>Pampanga!F80</f>
        <v>1957000</v>
      </c>
      <c r="H107" s="307">
        <f>Pampanga!G80</f>
        <v>570</v>
      </c>
      <c r="I107" s="318">
        <f>Pampanga!H80</f>
        <v>2850000</v>
      </c>
    </row>
    <row r="108" spans="1:9" s="316" customFormat="1" ht="15" customHeight="1" x14ac:dyDescent="0.25">
      <c r="A108" s="820"/>
      <c r="B108" s="832"/>
      <c r="C108" s="841"/>
      <c r="D108" s="273"/>
      <c r="E108" s="306" t="s">
        <v>249</v>
      </c>
      <c r="F108" s="307">
        <f>Pampanga!E84</f>
        <v>437</v>
      </c>
      <c r="G108" s="318">
        <f>Pampanga!F84</f>
        <v>2819000</v>
      </c>
      <c r="H108" s="307">
        <f>Pampanga!G84</f>
        <v>1042</v>
      </c>
      <c r="I108" s="318">
        <f>Pampanga!H84</f>
        <v>5210000</v>
      </c>
    </row>
    <row r="109" spans="1:9" s="316" customFormat="1" ht="15" customHeight="1" x14ac:dyDescent="0.25">
      <c r="A109" s="820"/>
      <c r="B109" s="832"/>
      <c r="C109" s="841"/>
      <c r="D109" s="273"/>
      <c r="E109" s="306" t="s">
        <v>288</v>
      </c>
      <c r="F109" s="307">
        <f>Pampanga!E91</f>
        <v>687</v>
      </c>
      <c r="G109" s="318">
        <f>Pampanga!F91</f>
        <v>3328000</v>
      </c>
      <c r="H109" s="307">
        <f>Pampanga!G91</f>
        <v>500</v>
      </c>
      <c r="I109" s="318">
        <f>Pampanga!H91</f>
        <v>2500000</v>
      </c>
    </row>
    <row r="110" spans="1:9" s="316" customFormat="1" ht="15" customHeight="1" x14ac:dyDescent="0.25">
      <c r="A110" s="820"/>
      <c r="B110" s="832"/>
      <c r="C110" s="841"/>
      <c r="D110" s="273"/>
      <c r="E110" s="306" t="s">
        <v>289</v>
      </c>
      <c r="F110" s="307">
        <f>Pampanga!E97</f>
        <v>119</v>
      </c>
      <c r="G110" s="318">
        <f>Pampanga!F97</f>
        <v>910000</v>
      </c>
      <c r="H110" s="307">
        <f>Pampanga!G97</f>
        <v>360</v>
      </c>
      <c r="I110" s="318">
        <f>Pampanga!H97</f>
        <v>1800000</v>
      </c>
    </row>
    <row r="111" spans="1:9" s="316" customFormat="1" ht="14.25" customHeight="1" x14ac:dyDescent="0.25">
      <c r="A111" s="820"/>
      <c r="B111" s="832"/>
      <c r="C111" s="841"/>
      <c r="D111" s="300" t="s">
        <v>299</v>
      </c>
      <c r="E111" s="300"/>
      <c r="F111" s="319">
        <f>F112+F113+F114</f>
        <v>281</v>
      </c>
      <c r="G111" s="327">
        <f>G112+G113+G114</f>
        <v>1895000</v>
      </c>
      <c r="H111" s="319">
        <f>H112+H113+H114</f>
        <v>3377</v>
      </c>
      <c r="I111" s="327">
        <f>I112+I113+I114</f>
        <v>16885000</v>
      </c>
    </row>
    <row r="112" spans="1:9" s="316" customFormat="1" ht="15" customHeight="1" x14ac:dyDescent="0.25">
      <c r="A112" s="820"/>
      <c r="B112" s="832"/>
      <c r="C112" s="841"/>
      <c r="D112" s="273"/>
      <c r="E112" s="306" t="s">
        <v>248</v>
      </c>
      <c r="F112" s="307">
        <f>Tarlac!E58</f>
        <v>76</v>
      </c>
      <c r="G112" s="318">
        <f>Tarlac!F58</f>
        <v>610000</v>
      </c>
      <c r="H112" s="307">
        <f>Tarlac!G58</f>
        <v>1590</v>
      </c>
      <c r="I112" s="318">
        <f>Tarlac!H58</f>
        <v>7950000</v>
      </c>
    </row>
    <row r="113" spans="1:9" s="316" customFormat="1" ht="15" customHeight="1" x14ac:dyDescent="0.25">
      <c r="A113" s="820"/>
      <c r="B113" s="832"/>
      <c r="C113" s="841"/>
      <c r="D113" s="273"/>
      <c r="E113" s="306" t="s">
        <v>249</v>
      </c>
      <c r="F113" s="307">
        <f>Tarlac!E69</f>
        <v>130</v>
      </c>
      <c r="G113" s="318">
        <f>Tarlac!F69</f>
        <v>880000</v>
      </c>
      <c r="H113" s="307">
        <f>Tarlac!G69</f>
        <v>850</v>
      </c>
      <c r="I113" s="318">
        <f>Tarlac!H69</f>
        <v>4250000</v>
      </c>
    </row>
    <row r="114" spans="1:9" s="316" customFormat="1" ht="15" customHeight="1" x14ac:dyDescent="0.25">
      <c r="A114" s="820"/>
      <c r="B114" s="832"/>
      <c r="C114" s="841"/>
      <c r="D114" s="273"/>
      <c r="E114" s="306" t="s">
        <v>288</v>
      </c>
      <c r="F114" s="307">
        <f>Tarlac!E74</f>
        <v>75</v>
      </c>
      <c r="G114" s="318">
        <f>Tarlac!F74</f>
        <v>405000</v>
      </c>
      <c r="H114" s="307">
        <f>Tarlac!G74</f>
        <v>937</v>
      </c>
      <c r="I114" s="318">
        <f>Tarlac!H74</f>
        <v>4685000</v>
      </c>
    </row>
    <row r="115" spans="1:9" s="316" customFormat="1" ht="14.25" customHeight="1" x14ac:dyDescent="0.25">
      <c r="A115" s="820"/>
      <c r="B115" s="832"/>
      <c r="C115" s="841"/>
      <c r="D115" s="300" t="s">
        <v>300</v>
      </c>
      <c r="E115" s="300"/>
      <c r="F115" s="319">
        <f>F116+F117</f>
        <v>197</v>
      </c>
      <c r="G115" s="327">
        <f>G116+G117</f>
        <v>1498000</v>
      </c>
      <c r="H115" s="319">
        <f>H116+H117</f>
        <v>1580</v>
      </c>
      <c r="I115" s="327">
        <f>I116+I117</f>
        <v>7900000</v>
      </c>
    </row>
    <row r="116" spans="1:9" s="316" customFormat="1" ht="15" customHeight="1" x14ac:dyDescent="0.25">
      <c r="A116" s="820"/>
      <c r="B116" s="832"/>
      <c r="C116" s="841"/>
      <c r="D116" s="273"/>
      <c r="E116" s="306" t="s">
        <v>248</v>
      </c>
      <c r="F116" s="307">
        <f>Zambales!E48</f>
        <v>98</v>
      </c>
      <c r="G116" s="318">
        <f>Zambales!F48</f>
        <v>765000</v>
      </c>
      <c r="H116" s="307">
        <f>Zambales!G48</f>
        <v>820</v>
      </c>
      <c r="I116" s="318">
        <f>Zambales!H48</f>
        <v>4100000</v>
      </c>
    </row>
    <row r="117" spans="1:9" s="316" customFormat="1" ht="15" customHeight="1" x14ac:dyDescent="0.25">
      <c r="A117" s="821"/>
      <c r="B117" s="833"/>
      <c r="C117" s="842"/>
      <c r="D117" s="273"/>
      <c r="E117" s="306" t="s">
        <v>249</v>
      </c>
      <c r="F117" s="307">
        <f>Zambales!E53</f>
        <v>99</v>
      </c>
      <c r="G117" s="318">
        <f>Zambales!F53</f>
        <v>733000</v>
      </c>
      <c r="H117" s="307">
        <f>Zambales!G53</f>
        <v>760</v>
      </c>
      <c r="I117" s="318">
        <f>Zambales!H53</f>
        <v>3800000</v>
      </c>
    </row>
    <row r="118" spans="1:9" s="336" customFormat="1" ht="15" customHeight="1" x14ac:dyDescent="0.25">
      <c r="B118" s="50"/>
      <c r="D118" s="337"/>
      <c r="F118" s="338"/>
      <c r="G118" s="339"/>
      <c r="H118" s="338"/>
      <c r="I118" s="339"/>
    </row>
    <row r="119" spans="1:9" s="336" customFormat="1" ht="15" customHeight="1" x14ac:dyDescent="0.25">
      <c r="B119" s="50"/>
      <c r="D119" s="337"/>
      <c r="F119" s="338"/>
      <c r="G119" s="339"/>
      <c r="H119" s="338"/>
      <c r="I119" s="339"/>
    </row>
    <row r="120" spans="1:9" s="336" customFormat="1" ht="15" customHeight="1" x14ac:dyDescent="0.25">
      <c r="B120" s="50"/>
      <c r="D120" s="337"/>
      <c r="F120" s="338"/>
      <c r="G120" s="339"/>
      <c r="H120" s="338"/>
      <c r="I120" s="339"/>
    </row>
    <row r="121" spans="1:9" s="336" customFormat="1" ht="15" customHeight="1" x14ac:dyDescent="0.25">
      <c r="B121" s="50"/>
      <c r="D121" s="337"/>
      <c r="F121" s="338"/>
      <c r="G121" s="339"/>
      <c r="H121" s="338"/>
      <c r="I121" s="339"/>
    </row>
    <row r="122" spans="1:9" s="336" customFormat="1" ht="15" customHeight="1" x14ac:dyDescent="0.25">
      <c r="B122" s="50"/>
      <c r="D122" s="337"/>
      <c r="F122" s="338"/>
      <c r="G122" s="339"/>
      <c r="H122" s="338"/>
      <c r="I122" s="339"/>
    </row>
    <row r="123" spans="1:9" s="336" customFormat="1" ht="15" customHeight="1" x14ac:dyDescent="0.25">
      <c r="B123" s="50"/>
      <c r="D123" s="337"/>
      <c r="F123" s="338"/>
      <c r="G123" s="339"/>
      <c r="H123" s="338"/>
      <c r="I123" s="339"/>
    </row>
    <row r="124" spans="1:9" s="316" customFormat="1" ht="15" customHeight="1" x14ac:dyDescent="0.25">
      <c r="A124" s="819" t="s">
        <v>6</v>
      </c>
      <c r="B124" s="831" t="s">
        <v>54</v>
      </c>
      <c r="C124" s="834" t="s">
        <v>20</v>
      </c>
      <c r="D124" s="268"/>
      <c r="E124" s="120" t="s">
        <v>81</v>
      </c>
      <c r="F124" s="330">
        <f>F125+F127+F130+F136+F141+F146+F150</f>
        <v>153396</v>
      </c>
      <c r="G124" s="274">
        <f>G125+G127+G130+G136+G141+G146+G150</f>
        <v>194438767</v>
      </c>
      <c r="H124" s="330">
        <f>H125+H127+H130+H136+H141+H146+H150</f>
        <v>221278</v>
      </c>
      <c r="I124" s="274">
        <f>I125+I127+I130+I136+I141+I146+I150</f>
        <v>344125860</v>
      </c>
    </row>
    <row r="125" spans="1:9" s="312" customFormat="1" ht="18.75" customHeight="1" x14ac:dyDescent="0.25">
      <c r="A125" s="820"/>
      <c r="B125" s="832"/>
      <c r="C125" s="835"/>
      <c r="D125" s="299" t="s">
        <v>294</v>
      </c>
      <c r="E125" s="298"/>
      <c r="F125" s="298">
        <f>F126</f>
        <v>5434</v>
      </c>
      <c r="G125" s="326">
        <f>G126</f>
        <v>6748580</v>
      </c>
      <c r="H125" s="298">
        <f>H126</f>
        <v>9566</v>
      </c>
      <c r="I125" s="326">
        <f>I126</f>
        <v>13855140</v>
      </c>
    </row>
    <row r="126" spans="1:9" s="316" customFormat="1" ht="15" customHeight="1" x14ac:dyDescent="0.25">
      <c r="A126" s="820"/>
      <c r="B126" s="832"/>
      <c r="C126" s="835"/>
      <c r="D126" s="273"/>
      <c r="E126" s="301" t="s">
        <v>250</v>
      </c>
      <c r="F126" s="302">
        <f>Aurora!E49</f>
        <v>5434</v>
      </c>
      <c r="G126" s="321">
        <f>Aurora!F49</f>
        <v>6748580</v>
      </c>
      <c r="H126" s="302">
        <f>Aurora!G49</f>
        <v>9566</v>
      </c>
      <c r="I126" s="321">
        <f>Aurora!H49</f>
        <v>13855140</v>
      </c>
    </row>
    <row r="127" spans="1:9" s="316" customFormat="1" ht="14.25" customHeight="1" x14ac:dyDescent="0.25">
      <c r="A127" s="820"/>
      <c r="B127" s="832"/>
      <c r="C127" s="835"/>
      <c r="D127" s="300" t="s">
        <v>295</v>
      </c>
      <c r="E127" s="300"/>
      <c r="F127" s="317">
        <f>F128+F129</f>
        <v>11437</v>
      </c>
      <c r="G127" s="327">
        <f>G128+G129</f>
        <v>16787070</v>
      </c>
      <c r="H127" s="317">
        <f>H128+H129</f>
        <v>16967</v>
      </c>
      <c r="I127" s="327">
        <f>I128+I129</f>
        <v>26468520</v>
      </c>
    </row>
    <row r="128" spans="1:9" s="316" customFormat="1" ht="15" customHeight="1" x14ac:dyDescent="0.25">
      <c r="A128" s="820"/>
      <c r="B128" s="832"/>
      <c r="C128" s="835"/>
      <c r="D128" s="273"/>
      <c r="E128" s="306" t="s">
        <v>248</v>
      </c>
      <c r="F128" s="320">
        <f>Bataan!E60</f>
        <v>5502</v>
      </c>
      <c r="G128" s="318">
        <f>Bataan!F60</f>
        <v>8680570</v>
      </c>
      <c r="H128" s="320">
        <f>Bataan!G60</f>
        <v>7628</v>
      </c>
      <c r="I128" s="318">
        <f>Bataan!H60</f>
        <v>11899680</v>
      </c>
    </row>
    <row r="129" spans="1:9" s="316" customFormat="1" ht="15" customHeight="1" x14ac:dyDescent="0.25">
      <c r="A129" s="820"/>
      <c r="B129" s="832"/>
      <c r="C129" s="835"/>
      <c r="D129" s="273"/>
      <c r="E129" s="306" t="s">
        <v>249</v>
      </c>
      <c r="F129" s="320">
        <f>Bataan!E67</f>
        <v>5935</v>
      </c>
      <c r="G129" s="318">
        <f>Bataan!F67</f>
        <v>8106500</v>
      </c>
      <c r="H129" s="320">
        <f>Bataan!G67</f>
        <v>9339</v>
      </c>
      <c r="I129" s="318">
        <f>Bataan!H67</f>
        <v>14568840</v>
      </c>
    </row>
    <row r="130" spans="1:9" s="316" customFormat="1" ht="14.25" customHeight="1" x14ac:dyDescent="0.25">
      <c r="A130" s="820"/>
      <c r="B130" s="832"/>
      <c r="C130" s="835"/>
      <c r="D130" s="300" t="s">
        <v>296</v>
      </c>
      <c r="E130" s="300"/>
      <c r="F130" s="317">
        <f>F131+F132+F133+F134+F135</f>
        <v>30981</v>
      </c>
      <c r="G130" s="327">
        <f>G131+G132+G133+G134+G135</f>
        <v>48502341</v>
      </c>
      <c r="H130" s="317">
        <f>H131+H132+H133+H134+H135</f>
        <v>53184</v>
      </c>
      <c r="I130" s="327">
        <f>I131+I132+I133+I134+I135</f>
        <v>82967040</v>
      </c>
    </row>
    <row r="131" spans="1:9" s="316" customFormat="1" ht="15" customHeight="1" x14ac:dyDescent="0.25">
      <c r="A131" s="820"/>
      <c r="B131" s="832"/>
      <c r="C131" s="835"/>
      <c r="D131" s="273"/>
      <c r="E131" s="306" t="s">
        <v>248</v>
      </c>
      <c r="F131" s="320">
        <f>Bulacan!E105</f>
        <v>8409</v>
      </c>
      <c r="G131" s="318">
        <f>Bulacan!F105</f>
        <v>13019321</v>
      </c>
      <c r="H131" s="320">
        <f>Bulacan!G105</f>
        <v>11103</v>
      </c>
      <c r="I131" s="318">
        <f>Bulacan!H105</f>
        <v>17320680</v>
      </c>
    </row>
    <row r="132" spans="1:9" s="316" customFormat="1" ht="15" customHeight="1" x14ac:dyDescent="0.25">
      <c r="A132" s="820"/>
      <c r="B132" s="832"/>
      <c r="C132" s="835"/>
      <c r="D132" s="273"/>
      <c r="E132" s="306" t="s">
        <v>249</v>
      </c>
      <c r="F132" s="307">
        <f>Bulacan!E112</f>
        <v>10075</v>
      </c>
      <c r="G132" s="318">
        <f>Bulacan!F112</f>
        <v>15837800</v>
      </c>
      <c r="H132" s="307">
        <f>Bulacan!G112</f>
        <v>13130</v>
      </c>
      <c r="I132" s="318">
        <f>Bulacan!H112</f>
        <v>20482800</v>
      </c>
    </row>
    <row r="133" spans="1:9" s="316" customFormat="1" ht="15" customHeight="1" x14ac:dyDescent="0.25">
      <c r="A133" s="820"/>
      <c r="B133" s="832"/>
      <c r="C133" s="835"/>
      <c r="D133" s="273"/>
      <c r="E133" s="306" t="s">
        <v>288</v>
      </c>
      <c r="F133" s="307">
        <f>Bulacan!E120</f>
        <v>5900</v>
      </c>
      <c r="G133" s="318">
        <f>Bulacan!F120</f>
        <v>9274800</v>
      </c>
      <c r="H133" s="307">
        <f>Bulacan!G120</f>
        <v>14195</v>
      </c>
      <c r="I133" s="318">
        <f>Bulacan!H120</f>
        <v>22144200</v>
      </c>
    </row>
    <row r="134" spans="1:9" s="316" customFormat="1" ht="15" customHeight="1" x14ac:dyDescent="0.25">
      <c r="A134" s="820"/>
      <c r="B134" s="832"/>
      <c r="C134" s="835"/>
      <c r="D134" s="273"/>
      <c r="E134" s="306" t="s">
        <v>289</v>
      </c>
      <c r="F134" s="307">
        <f>Bulacan!E127</f>
        <v>6597</v>
      </c>
      <c r="G134" s="318">
        <f>Bulacan!F127</f>
        <v>10370420</v>
      </c>
      <c r="H134" s="307">
        <f>Bulacan!G127</f>
        <v>8496</v>
      </c>
      <c r="I134" s="318">
        <f>Bulacan!H127</f>
        <v>13253760</v>
      </c>
    </row>
    <row r="135" spans="1:9" s="316" customFormat="1" ht="15" customHeight="1" x14ac:dyDescent="0.25">
      <c r="A135" s="820"/>
      <c r="B135" s="832"/>
      <c r="C135" s="835"/>
      <c r="D135" s="273"/>
      <c r="E135" s="306" t="s">
        <v>290</v>
      </c>
      <c r="F135" s="307">
        <f>Bulacan!E132</f>
        <v>0</v>
      </c>
      <c r="G135" s="318">
        <f>Bulacan!F132</f>
        <v>0</v>
      </c>
      <c r="H135" s="307">
        <f>Bulacan!G132</f>
        <v>6260</v>
      </c>
      <c r="I135" s="318">
        <f>Bulacan!H132</f>
        <v>9765600</v>
      </c>
    </row>
    <row r="136" spans="1:9" s="316" customFormat="1" ht="14.25" customHeight="1" x14ac:dyDescent="0.25">
      <c r="A136" s="820"/>
      <c r="B136" s="832"/>
      <c r="C136" s="835"/>
      <c r="D136" s="300" t="s">
        <v>297</v>
      </c>
      <c r="E136" s="300"/>
      <c r="F136" s="319">
        <f>F137+F138+F139+F140</f>
        <v>38165</v>
      </c>
      <c r="G136" s="327">
        <f>G137+G138+G139+G140</f>
        <v>49791540</v>
      </c>
      <c r="H136" s="319">
        <f>H137+H138+H139+H140</f>
        <v>50583</v>
      </c>
      <c r="I136" s="327">
        <f>I137+I138+I139+I140</f>
        <v>78909480</v>
      </c>
    </row>
    <row r="137" spans="1:9" s="316" customFormat="1" ht="15" customHeight="1" x14ac:dyDescent="0.25">
      <c r="A137" s="820"/>
      <c r="B137" s="832"/>
      <c r="C137" s="835"/>
      <c r="D137" s="273"/>
      <c r="E137" s="306" t="s">
        <v>248</v>
      </c>
      <c r="F137" s="320">
        <f>'Nueva Ecija'!E132</f>
        <v>11657</v>
      </c>
      <c r="G137" s="318">
        <f>'Nueva Ecija'!F132</f>
        <v>15485810</v>
      </c>
      <c r="H137" s="320">
        <f>'Nueva Ecija'!G132</f>
        <v>14891</v>
      </c>
      <c r="I137" s="318">
        <f>'Nueva Ecija'!H132</f>
        <v>23229960</v>
      </c>
    </row>
    <row r="138" spans="1:9" s="316" customFormat="1" ht="15" customHeight="1" x14ac:dyDescent="0.25">
      <c r="A138" s="820"/>
      <c r="B138" s="832"/>
      <c r="C138" s="835"/>
      <c r="D138" s="273"/>
      <c r="E138" s="306" t="s">
        <v>249</v>
      </c>
      <c r="F138" s="307">
        <f>'Nueva Ecija'!E142</f>
        <v>9558</v>
      </c>
      <c r="G138" s="318">
        <f>'Nueva Ecija'!F142</f>
        <v>13703120</v>
      </c>
      <c r="H138" s="307">
        <f>'Nueva Ecija'!G142</f>
        <v>12245</v>
      </c>
      <c r="I138" s="318">
        <f>'Nueva Ecija'!H142</f>
        <v>19102200</v>
      </c>
    </row>
    <row r="139" spans="1:9" s="316" customFormat="1" ht="15" customHeight="1" x14ac:dyDescent="0.25">
      <c r="A139" s="820"/>
      <c r="B139" s="832"/>
      <c r="C139" s="835"/>
      <c r="D139" s="273"/>
      <c r="E139" s="306" t="s">
        <v>288</v>
      </c>
      <c r="F139" s="307">
        <f>'Nueva Ecija'!E151</f>
        <v>8851</v>
      </c>
      <c r="G139" s="318">
        <f>'Nueva Ecija'!F151</f>
        <v>9705540</v>
      </c>
      <c r="H139" s="307">
        <f>'Nueva Ecija'!G151</f>
        <v>13724</v>
      </c>
      <c r="I139" s="318">
        <f>'Nueva Ecija'!H151</f>
        <v>21409440</v>
      </c>
    </row>
    <row r="140" spans="1:9" s="316" customFormat="1" ht="15" customHeight="1" x14ac:dyDescent="0.25">
      <c r="A140" s="820"/>
      <c r="B140" s="832"/>
      <c r="C140" s="835"/>
      <c r="D140" s="273"/>
      <c r="E140" s="306" t="s">
        <v>289</v>
      </c>
      <c r="F140" s="307">
        <f>'Nueva Ecija'!E161</f>
        <v>8099</v>
      </c>
      <c r="G140" s="318">
        <f>'Nueva Ecija'!F161</f>
        <v>10897070</v>
      </c>
      <c r="H140" s="307">
        <f>'Nueva Ecija'!G161</f>
        <v>9723</v>
      </c>
      <c r="I140" s="318">
        <f>'Nueva Ecija'!H161</f>
        <v>15167880</v>
      </c>
    </row>
    <row r="141" spans="1:9" s="316" customFormat="1" ht="14.25" customHeight="1" x14ac:dyDescent="0.25">
      <c r="A141" s="820"/>
      <c r="B141" s="832"/>
      <c r="C141" s="835"/>
      <c r="D141" s="300" t="s">
        <v>298</v>
      </c>
      <c r="E141" s="300"/>
      <c r="F141" s="319">
        <f>F142+F143+F144+F145</f>
        <v>29093</v>
      </c>
      <c r="G141" s="327">
        <f>G142+G143+G144+G145</f>
        <v>27229130</v>
      </c>
      <c r="H141" s="319">
        <f>H142+H143+H144+H145</f>
        <v>40884</v>
      </c>
      <c r="I141" s="327">
        <f>I142+I143+I144+I145</f>
        <v>63779040</v>
      </c>
    </row>
    <row r="142" spans="1:9" s="316" customFormat="1" ht="15" customHeight="1" x14ac:dyDescent="0.25">
      <c r="A142" s="820"/>
      <c r="B142" s="832"/>
      <c r="C142" s="835"/>
      <c r="D142" s="273"/>
      <c r="E142" s="306" t="s">
        <v>248</v>
      </c>
      <c r="F142" s="307">
        <f>Pampanga!E108</f>
        <v>4366</v>
      </c>
      <c r="G142" s="318">
        <f>Pampanga!F108</f>
        <v>2297250</v>
      </c>
      <c r="H142" s="307">
        <f>Pampanga!G108</f>
        <v>10471</v>
      </c>
      <c r="I142" s="318">
        <f>Pampanga!H108</f>
        <v>16334760</v>
      </c>
    </row>
    <row r="143" spans="1:9" s="316" customFormat="1" ht="15" customHeight="1" x14ac:dyDescent="0.25">
      <c r="A143" s="820"/>
      <c r="B143" s="832"/>
      <c r="C143" s="835"/>
      <c r="D143" s="273"/>
      <c r="E143" s="306" t="s">
        <v>249</v>
      </c>
      <c r="F143" s="307">
        <f>Pampanga!E112</f>
        <v>9361</v>
      </c>
      <c r="G143" s="318">
        <f>Pampanga!F112</f>
        <v>11830940</v>
      </c>
      <c r="H143" s="307">
        <f>Pampanga!G112</f>
        <v>11368</v>
      </c>
      <c r="I143" s="318">
        <f>Pampanga!H112</f>
        <v>17734080</v>
      </c>
    </row>
    <row r="144" spans="1:9" s="316" customFormat="1" ht="15" customHeight="1" x14ac:dyDescent="0.25">
      <c r="A144" s="820"/>
      <c r="B144" s="832"/>
      <c r="C144" s="835"/>
      <c r="D144" s="273"/>
      <c r="E144" s="306" t="s">
        <v>288</v>
      </c>
      <c r="F144" s="307">
        <f>Pampanga!E119</f>
        <v>8661</v>
      </c>
      <c r="G144" s="318">
        <f>Pampanga!F119</f>
        <v>4667240</v>
      </c>
      <c r="H144" s="307">
        <f>Pampanga!G119</f>
        <v>10825</v>
      </c>
      <c r="I144" s="318">
        <f>Pampanga!H119</f>
        <v>16887000</v>
      </c>
    </row>
    <row r="145" spans="1:9" s="316" customFormat="1" ht="15" customHeight="1" x14ac:dyDescent="0.25">
      <c r="A145" s="820"/>
      <c r="B145" s="832"/>
      <c r="C145" s="835"/>
      <c r="D145" s="273"/>
      <c r="E145" s="306" t="s">
        <v>289</v>
      </c>
      <c r="F145" s="307">
        <f>Pampanga!E131</f>
        <v>6705</v>
      </c>
      <c r="G145" s="318">
        <f>Pampanga!F131</f>
        <v>8433700</v>
      </c>
      <c r="H145" s="307">
        <f>Pampanga!G131</f>
        <v>8220</v>
      </c>
      <c r="I145" s="318">
        <f>Pampanga!H131</f>
        <v>12823200</v>
      </c>
    </row>
    <row r="146" spans="1:9" s="316" customFormat="1" ht="14.25" customHeight="1" x14ac:dyDescent="0.25">
      <c r="A146" s="820"/>
      <c r="B146" s="832"/>
      <c r="C146" s="835"/>
      <c r="D146" s="300" t="s">
        <v>299</v>
      </c>
      <c r="E146" s="300"/>
      <c r="F146" s="319">
        <f>F147+F148+F149</f>
        <v>25629</v>
      </c>
      <c r="G146" s="327">
        <f>G147+G148+G149</f>
        <v>31818846</v>
      </c>
      <c r="H146" s="319">
        <f>H147+H148+H149</f>
        <v>33834</v>
      </c>
      <c r="I146" s="327">
        <f>I147+I148+I149</f>
        <v>52781040</v>
      </c>
    </row>
    <row r="147" spans="1:9" s="316" customFormat="1" ht="15" customHeight="1" x14ac:dyDescent="0.25">
      <c r="A147" s="820"/>
      <c r="B147" s="832"/>
      <c r="C147" s="835"/>
      <c r="D147" s="273"/>
      <c r="E147" s="306" t="s">
        <v>248</v>
      </c>
      <c r="F147" s="307">
        <f>Tarlac!E90</f>
        <v>8984</v>
      </c>
      <c r="G147" s="318">
        <f>Tarlac!F90</f>
        <v>14076180</v>
      </c>
      <c r="H147" s="307">
        <f>Tarlac!G90</f>
        <v>13304</v>
      </c>
      <c r="I147" s="318">
        <f>Tarlac!H90</f>
        <v>20754240</v>
      </c>
    </row>
    <row r="148" spans="1:9" s="316" customFormat="1" ht="15" customHeight="1" x14ac:dyDescent="0.25">
      <c r="A148" s="820"/>
      <c r="B148" s="832"/>
      <c r="C148" s="835"/>
      <c r="D148" s="273"/>
      <c r="E148" s="306" t="s">
        <v>249</v>
      </c>
      <c r="F148" s="307">
        <f>Tarlac!E101</f>
        <v>9383</v>
      </c>
      <c r="G148" s="318">
        <f>Tarlac!F101</f>
        <v>6326796</v>
      </c>
      <c r="H148" s="307">
        <f>Tarlac!G101</f>
        <v>11815</v>
      </c>
      <c r="I148" s="318">
        <f>Tarlac!H101</f>
        <v>18431400</v>
      </c>
    </row>
    <row r="149" spans="1:9" s="316" customFormat="1" ht="15" customHeight="1" x14ac:dyDescent="0.25">
      <c r="A149" s="820"/>
      <c r="B149" s="832"/>
      <c r="C149" s="835"/>
      <c r="D149" s="273"/>
      <c r="E149" s="306" t="s">
        <v>288</v>
      </c>
      <c r="F149" s="307">
        <f>Tarlac!E106</f>
        <v>7262</v>
      </c>
      <c r="G149" s="318">
        <f>Tarlac!F106</f>
        <v>11415870</v>
      </c>
      <c r="H149" s="307">
        <f>Tarlac!G106</f>
        <v>8715</v>
      </c>
      <c r="I149" s="318">
        <f>Tarlac!H106</f>
        <v>13595400</v>
      </c>
    </row>
    <row r="150" spans="1:9" s="316" customFormat="1" ht="14.25" customHeight="1" x14ac:dyDescent="0.25">
      <c r="A150" s="820"/>
      <c r="B150" s="832"/>
      <c r="C150" s="835"/>
      <c r="D150" s="300" t="s">
        <v>300</v>
      </c>
      <c r="E150" s="300"/>
      <c r="F150" s="319">
        <f>F151+F152</f>
        <v>12657</v>
      </c>
      <c r="G150" s="327">
        <f>G151+G152</f>
        <v>13561260</v>
      </c>
      <c r="H150" s="319">
        <f>H151+H152</f>
        <v>16260</v>
      </c>
      <c r="I150" s="327">
        <f>I151+I152</f>
        <v>25365600</v>
      </c>
    </row>
    <row r="151" spans="1:9" s="316" customFormat="1" ht="15" customHeight="1" x14ac:dyDescent="0.25">
      <c r="A151" s="820"/>
      <c r="B151" s="832"/>
      <c r="C151" s="835"/>
      <c r="D151" s="273" t="s">
        <v>291</v>
      </c>
      <c r="E151" s="306" t="s">
        <v>248</v>
      </c>
      <c r="F151" s="307">
        <f>Zambales!E66</f>
        <v>5808</v>
      </c>
      <c r="G151" s="318">
        <f>Zambales!F66</f>
        <v>7145950</v>
      </c>
      <c r="H151" s="307">
        <f>Zambales!G66</f>
        <v>7471</v>
      </c>
      <c r="I151" s="318">
        <f>Zambales!H66</f>
        <v>11654760</v>
      </c>
    </row>
    <row r="152" spans="1:9" s="316" customFormat="1" ht="15" customHeight="1" x14ac:dyDescent="0.25">
      <c r="A152" s="821"/>
      <c r="B152" s="833"/>
      <c r="C152" s="836"/>
      <c r="D152" s="273"/>
      <c r="E152" s="306" t="s">
        <v>249</v>
      </c>
      <c r="F152" s="307">
        <f>Zambales!E71</f>
        <v>6849</v>
      </c>
      <c r="G152" s="318">
        <f>Zambales!F71</f>
        <v>6415310</v>
      </c>
      <c r="H152" s="307">
        <f>Zambales!G71</f>
        <v>8789</v>
      </c>
      <c r="I152" s="318">
        <f>Zambales!H71</f>
        <v>13710840</v>
      </c>
    </row>
    <row r="153" spans="1:9" s="336" customFormat="1" ht="15" customHeight="1" x14ac:dyDescent="0.25">
      <c r="B153" s="50"/>
      <c r="D153" s="337"/>
      <c r="F153" s="338"/>
      <c r="G153" s="339"/>
      <c r="H153" s="338"/>
      <c r="I153" s="339"/>
    </row>
    <row r="154" spans="1:9" s="336" customFormat="1" ht="15" customHeight="1" x14ac:dyDescent="0.25">
      <c r="B154" s="50"/>
      <c r="D154" s="337"/>
      <c r="F154" s="338"/>
      <c r="G154" s="339"/>
      <c r="H154" s="338"/>
      <c r="I154" s="339"/>
    </row>
    <row r="155" spans="1:9" s="336" customFormat="1" ht="15" customHeight="1" x14ac:dyDescent="0.25">
      <c r="B155" s="50"/>
      <c r="D155" s="337"/>
      <c r="F155" s="338"/>
      <c r="G155" s="339"/>
      <c r="H155" s="338"/>
      <c r="I155" s="339"/>
    </row>
    <row r="156" spans="1:9" s="336" customFormat="1" ht="15" customHeight="1" x14ac:dyDescent="0.25">
      <c r="B156" s="50"/>
      <c r="D156" s="337"/>
      <c r="F156" s="338"/>
      <c r="G156" s="339"/>
      <c r="H156" s="338"/>
      <c r="I156" s="339"/>
    </row>
    <row r="157" spans="1:9" s="336" customFormat="1" ht="15" customHeight="1" x14ac:dyDescent="0.25">
      <c r="B157" s="50"/>
      <c r="D157" s="337"/>
      <c r="F157" s="338"/>
      <c r="G157" s="339"/>
      <c r="H157" s="338"/>
      <c r="I157" s="339"/>
    </row>
    <row r="158" spans="1:9" s="336" customFormat="1" ht="15" customHeight="1" x14ac:dyDescent="0.25">
      <c r="B158" s="50"/>
      <c r="D158" s="337"/>
      <c r="F158" s="338"/>
      <c r="G158" s="339"/>
      <c r="H158" s="338"/>
      <c r="I158" s="339"/>
    </row>
    <row r="159" spans="1:9" s="316" customFormat="1" ht="15" customHeight="1" x14ac:dyDescent="0.25">
      <c r="A159" s="819" t="s">
        <v>16</v>
      </c>
      <c r="B159" s="834" t="s">
        <v>55</v>
      </c>
      <c r="C159" s="834" t="s">
        <v>19</v>
      </c>
      <c r="D159" s="268"/>
      <c r="E159" s="120" t="s">
        <v>81</v>
      </c>
      <c r="F159" s="330">
        <f>F160+F162+F165+F171+F176+F181+F185</f>
        <v>15260</v>
      </c>
      <c r="G159" s="274">
        <f>G160+G162+G165+G171+G176+G181+G185</f>
        <v>89131000</v>
      </c>
      <c r="H159" s="330">
        <f>H160+H162+H165+H171+H176+H181+H185</f>
        <v>15260</v>
      </c>
      <c r="I159" s="274">
        <f>I160+I162+I165+I171+I176+I181+I185</f>
        <v>104395000</v>
      </c>
    </row>
    <row r="160" spans="1:9" s="312" customFormat="1" ht="18.75" customHeight="1" x14ac:dyDescent="0.25">
      <c r="A160" s="820"/>
      <c r="B160" s="835"/>
      <c r="C160" s="835"/>
      <c r="D160" s="299" t="s">
        <v>294</v>
      </c>
      <c r="E160" s="298"/>
      <c r="F160" s="298">
        <f>F161</f>
        <v>659</v>
      </c>
      <c r="G160" s="326">
        <f>G161</f>
        <v>3954000</v>
      </c>
      <c r="H160" s="298">
        <f>H161</f>
        <v>659</v>
      </c>
      <c r="I160" s="326">
        <f>I161</f>
        <v>3954000</v>
      </c>
    </row>
    <row r="161" spans="1:9" s="316" customFormat="1" ht="15" customHeight="1" x14ac:dyDescent="0.25">
      <c r="A161" s="820"/>
      <c r="B161" s="835"/>
      <c r="C161" s="835"/>
      <c r="D161" s="273"/>
      <c r="E161" s="301" t="s">
        <v>250</v>
      </c>
      <c r="F161" s="302">
        <f>Aurora!E59</f>
        <v>659</v>
      </c>
      <c r="G161" s="321">
        <f>Aurora!F59</f>
        <v>3954000</v>
      </c>
      <c r="H161" s="302">
        <f>Aurora!G59</f>
        <v>659</v>
      </c>
      <c r="I161" s="321">
        <f>Aurora!H59</f>
        <v>3954000</v>
      </c>
    </row>
    <row r="162" spans="1:9" s="316" customFormat="1" ht="14.25" customHeight="1" x14ac:dyDescent="0.25">
      <c r="A162" s="820"/>
      <c r="B162" s="835"/>
      <c r="C162" s="835"/>
      <c r="D162" s="300" t="s">
        <v>295</v>
      </c>
      <c r="E162" s="300"/>
      <c r="F162" s="317">
        <f>F163+F164</f>
        <v>1082</v>
      </c>
      <c r="G162" s="327">
        <f>G163+G164</f>
        <v>6492000</v>
      </c>
      <c r="H162" s="317">
        <f>H163+H164</f>
        <v>1082</v>
      </c>
      <c r="I162" s="327">
        <f>I163+I164</f>
        <v>6492000</v>
      </c>
    </row>
    <row r="163" spans="1:9" s="316" customFormat="1" ht="15" customHeight="1" x14ac:dyDescent="0.25">
      <c r="A163" s="820"/>
      <c r="B163" s="835"/>
      <c r="C163" s="835"/>
      <c r="D163" s="273"/>
      <c r="E163" s="306" t="s">
        <v>248</v>
      </c>
      <c r="F163" s="320">
        <f>Bataan!E76</f>
        <v>588</v>
      </c>
      <c r="G163" s="318">
        <f>Bataan!F76</f>
        <v>3528000</v>
      </c>
      <c r="H163" s="320">
        <f>Bataan!G76</f>
        <v>588</v>
      </c>
      <c r="I163" s="318">
        <f>Bataan!H76</f>
        <v>3528000</v>
      </c>
    </row>
    <row r="164" spans="1:9" s="316" customFormat="1" ht="15" customHeight="1" x14ac:dyDescent="0.25">
      <c r="A164" s="820"/>
      <c r="B164" s="835"/>
      <c r="C164" s="835"/>
      <c r="D164" s="273"/>
      <c r="E164" s="306" t="s">
        <v>249</v>
      </c>
      <c r="F164" s="320">
        <f>Bataan!E83</f>
        <v>494</v>
      </c>
      <c r="G164" s="318">
        <f>Bataan!F83</f>
        <v>2964000</v>
      </c>
      <c r="H164" s="320">
        <f>Bataan!G83</f>
        <v>494</v>
      </c>
      <c r="I164" s="318">
        <f>Bataan!H83</f>
        <v>2964000</v>
      </c>
    </row>
    <row r="165" spans="1:9" s="316" customFormat="1" ht="14.25" customHeight="1" x14ac:dyDescent="0.25">
      <c r="A165" s="820"/>
      <c r="B165" s="835"/>
      <c r="C165" s="835"/>
      <c r="D165" s="300" t="s">
        <v>296</v>
      </c>
      <c r="E165" s="300"/>
      <c r="F165" s="317">
        <f>F166+F167+F168+F169+F170</f>
        <v>2869</v>
      </c>
      <c r="G165" s="327">
        <f>G166+G167+G168+G169+G170</f>
        <v>17214000</v>
      </c>
      <c r="H165" s="317">
        <f>H166+H167+H168+H169+H170</f>
        <v>2869</v>
      </c>
      <c r="I165" s="327">
        <f>I166+I167+I168+I169+I170</f>
        <v>32478000</v>
      </c>
    </row>
    <row r="166" spans="1:9" s="316" customFormat="1" ht="15" customHeight="1" x14ac:dyDescent="0.25">
      <c r="A166" s="820"/>
      <c r="B166" s="835"/>
      <c r="C166" s="835"/>
      <c r="D166" s="273"/>
      <c r="E166" s="306" t="s">
        <v>248</v>
      </c>
      <c r="F166" s="320">
        <f>Bulacan!E136</f>
        <v>677</v>
      </c>
      <c r="G166" s="318">
        <f>Bulacan!F136</f>
        <v>4062000</v>
      </c>
      <c r="H166" s="320">
        <f>Bulacan!G136</f>
        <v>677</v>
      </c>
      <c r="I166" s="318">
        <f>Bulacan!H136</f>
        <v>4062000</v>
      </c>
    </row>
    <row r="167" spans="1:9" s="316" customFormat="1" ht="15" customHeight="1" x14ac:dyDescent="0.25">
      <c r="A167" s="820"/>
      <c r="B167" s="835"/>
      <c r="C167" s="835"/>
      <c r="D167" s="273"/>
      <c r="E167" s="306" t="s">
        <v>249</v>
      </c>
      <c r="F167" s="307">
        <f>Bulacan!E143</f>
        <v>698</v>
      </c>
      <c r="G167" s="318">
        <f>Bulacan!F143</f>
        <v>4188000</v>
      </c>
      <c r="H167" s="307">
        <f>Bulacan!G143</f>
        <v>698</v>
      </c>
      <c r="I167" s="318">
        <f>Bulacan!H143</f>
        <v>10080000</v>
      </c>
    </row>
    <row r="168" spans="1:9" s="316" customFormat="1" ht="15" customHeight="1" x14ac:dyDescent="0.25">
      <c r="A168" s="820"/>
      <c r="B168" s="835"/>
      <c r="C168" s="835"/>
      <c r="D168" s="273"/>
      <c r="E168" s="306" t="s">
        <v>288</v>
      </c>
      <c r="F168" s="307">
        <f>Bulacan!E151</f>
        <v>744</v>
      </c>
      <c r="G168" s="318">
        <f>Bulacan!F151</f>
        <v>4464000</v>
      </c>
      <c r="H168" s="307">
        <f>Bulacan!G151</f>
        <v>744</v>
      </c>
      <c r="I168" s="318">
        <f>Bulacan!H151</f>
        <v>9456000</v>
      </c>
    </row>
    <row r="169" spans="1:9" s="316" customFormat="1" ht="15" customHeight="1" x14ac:dyDescent="0.25">
      <c r="A169" s="820"/>
      <c r="B169" s="835"/>
      <c r="C169" s="835"/>
      <c r="D169" s="273"/>
      <c r="E169" s="306" t="s">
        <v>289</v>
      </c>
      <c r="F169" s="307">
        <f>Bulacan!E158</f>
        <v>418</v>
      </c>
      <c r="G169" s="318">
        <f>Bulacan!F158</f>
        <v>2508000</v>
      </c>
      <c r="H169" s="307">
        <f>Bulacan!G158</f>
        <v>418</v>
      </c>
      <c r="I169" s="318">
        <f>Bulacan!H158</f>
        <v>6288000</v>
      </c>
    </row>
    <row r="170" spans="1:9" s="316" customFormat="1" ht="15" customHeight="1" x14ac:dyDescent="0.25">
      <c r="A170" s="820"/>
      <c r="B170" s="835"/>
      <c r="C170" s="835"/>
      <c r="D170" s="273"/>
      <c r="E170" s="306" t="s">
        <v>290</v>
      </c>
      <c r="F170" s="307">
        <f>Bulacan!E163</f>
        <v>332</v>
      </c>
      <c r="G170" s="318">
        <f>Bulacan!F163</f>
        <v>1992000</v>
      </c>
      <c r="H170" s="307">
        <f>Bulacan!G163</f>
        <v>332</v>
      </c>
      <c r="I170" s="318">
        <f>Bulacan!H163</f>
        <v>2592000</v>
      </c>
    </row>
    <row r="171" spans="1:9" s="316" customFormat="1" ht="14.25" customHeight="1" x14ac:dyDescent="0.25">
      <c r="A171" s="820"/>
      <c r="B171" s="835"/>
      <c r="C171" s="835"/>
      <c r="D171" s="300" t="s">
        <v>297</v>
      </c>
      <c r="E171" s="300"/>
      <c r="F171" s="319">
        <f>F172+F173+F174+F175</f>
        <v>4614</v>
      </c>
      <c r="G171" s="327">
        <f>G172+G173+G174+G175</f>
        <v>27684000</v>
      </c>
      <c r="H171" s="319">
        <f>H172+H173+H174+H175</f>
        <v>4614</v>
      </c>
      <c r="I171" s="327">
        <f>I172+I173+I174+I175</f>
        <v>27684000</v>
      </c>
    </row>
    <row r="172" spans="1:9" s="316" customFormat="1" ht="15" customHeight="1" x14ac:dyDescent="0.25">
      <c r="A172" s="820"/>
      <c r="B172" s="835"/>
      <c r="C172" s="835"/>
      <c r="D172" s="273"/>
      <c r="E172" s="306" t="s">
        <v>248</v>
      </c>
      <c r="F172" s="320">
        <f>'Nueva Ecija'!E172</f>
        <v>1572</v>
      </c>
      <c r="G172" s="318">
        <f>'Nueva Ecija'!F172</f>
        <v>9432000</v>
      </c>
      <c r="H172" s="320">
        <f>'Nueva Ecija'!G172</f>
        <v>1572</v>
      </c>
      <c r="I172" s="318">
        <f>'Nueva Ecija'!H172</f>
        <v>9432000</v>
      </c>
    </row>
    <row r="173" spans="1:9" s="316" customFormat="1" ht="15" customHeight="1" x14ac:dyDescent="0.25">
      <c r="A173" s="820"/>
      <c r="B173" s="835"/>
      <c r="C173" s="835"/>
      <c r="D173" s="273"/>
      <c r="E173" s="306" t="s">
        <v>249</v>
      </c>
      <c r="F173" s="307">
        <f>'Nueva Ecija'!E182</f>
        <v>1102</v>
      </c>
      <c r="G173" s="318">
        <f>'Nueva Ecija'!F182</f>
        <v>6612000</v>
      </c>
      <c r="H173" s="307">
        <f>'Nueva Ecija'!G182</f>
        <v>1102</v>
      </c>
      <c r="I173" s="318">
        <f>'Nueva Ecija'!H182</f>
        <v>6612000</v>
      </c>
    </row>
    <row r="174" spans="1:9" s="316" customFormat="1" ht="15" customHeight="1" x14ac:dyDescent="0.25">
      <c r="A174" s="820"/>
      <c r="B174" s="835"/>
      <c r="C174" s="835"/>
      <c r="D174" s="273"/>
      <c r="E174" s="306" t="s">
        <v>288</v>
      </c>
      <c r="F174" s="307">
        <f>'Nueva Ecija'!E191</f>
        <v>955</v>
      </c>
      <c r="G174" s="318">
        <f>'Nueva Ecija'!F191</f>
        <v>5730000</v>
      </c>
      <c r="H174" s="307">
        <f>'Nueva Ecija'!G191</f>
        <v>955</v>
      </c>
      <c r="I174" s="318">
        <f>'Nueva Ecija'!H191</f>
        <v>5730000</v>
      </c>
    </row>
    <row r="175" spans="1:9" s="316" customFormat="1" ht="15" customHeight="1" x14ac:dyDescent="0.25">
      <c r="A175" s="820"/>
      <c r="B175" s="835"/>
      <c r="C175" s="835"/>
      <c r="D175" s="273"/>
      <c r="E175" s="306" t="s">
        <v>289</v>
      </c>
      <c r="F175" s="307">
        <f>'Nueva Ecija'!E201</f>
        <v>985</v>
      </c>
      <c r="G175" s="318">
        <f>'Nueva Ecija'!F201</f>
        <v>5910000</v>
      </c>
      <c r="H175" s="307">
        <f>'Nueva Ecija'!G201</f>
        <v>985</v>
      </c>
      <c r="I175" s="318">
        <f>'Nueva Ecija'!H201</f>
        <v>5910000</v>
      </c>
    </row>
    <row r="176" spans="1:9" s="316" customFormat="1" ht="14.25" customHeight="1" x14ac:dyDescent="0.25">
      <c r="A176" s="820"/>
      <c r="B176" s="835"/>
      <c r="C176" s="835"/>
      <c r="D176" s="300" t="s">
        <v>298</v>
      </c>
      <c r="E176" s="300"/>
      <c r="F176" s="319">
        <f>F177+F178+F179+F180</f>
        <v>2585</v>
      </c>
      <c r="G176" s="327">
        <f>G177+G178+G179+G180</f>
        <v>15510000</v>
      </c>
      <c r="H176" s="319">
        <f>H177+H178+H179+H180</f>
        <v>2585</v>
      </c>
      <c r="I176" s="327">
        <f>I177+I178+I179+I180</f>
        <v>15510000</v>
      </c>
    </row>
    <row r="177" spans="1:9" s="316" customFormat="1" ht="15" customHeight="1" x14ac:dyDescent="0.25">
      <c r="A177" s="820"/>
      <c r="B177" s="835"/>
      <c r="C177" s="835"/>
      <c r="D177" s="273"/>
      <c r="E177" s="306" t="s">
        <v>248</v>
      </c>
      <c r="F177" s="307">
        <f>Pampanga!E142</f>
        <v>349</v>
      </c>
      <c r="G177" s="318">
        <f>Pampanga!F142</f>
        <v>2094000</v>
      </c>
      <c r="H177" s="307">
        <f>Pampanga!G142</f>
        <v>349</v>
      </c>
      <c r="I177" s="318">
        <f>Pampanga!H142</f>
        <v>2094000</v>
      </c>
    </row>
    <row r="178" spans="1:9" s="316" customFormat="1" ht="15" customHeight="1" x14ac:dyDescent="0.25">
      <c r="A178" s="820"/>
      <c r="B178" s="835"/>
      <c r="C178" s="835"/>
      <c r="D178" s="273"/>
      <c r="E178" s="306" t="s">
        <v>249</v>
      </c>
      <c r="F178" s="307">
        <f>Pampanga!E146</f>
        <v>724</v>
      </c>
      <c r="G178" s="318">
        <f>Pampanga!F146</f>
        <v>4344000</v>
      </c>
      <c r="H178" s="307">
        <f>Pampanga!G146</f>
        <v>724</v>
      </c>
      <c r="I178" s="318">
        <f>Pampanga!H146</f>
        <v>4344000</v>
      </c>
    </row>
    <row r="179" spans="1:9" s="316" customFormat="1" ht="15" customHeight="1" x14ac:dyDescent="0.25">
      <c r="A179" s="820"/>
      <c r="B179" s="835"/>
      <c r="C179" s="835"/>
      <c r="D179" s="273"/>
      <c r="E179" s="306" t="s">
        <v>288</v>
      </c>
      <c r="F179" s="307">
        <f>Pampanga!E153</f>
        <v>600</v>
      </c>
      <c r="G179" s="318">
        <f>Pampanga!F153</f>
        <v>3600000</v>
      </c>
      <c r="H179" s="307">
        <f>Pampanga!G153</f>
        <v>600</v>
      </c>
      <c r="I179" s="318">
        <f>Pampanga!H153</f>
        <v>3600000</v>
      </c>
    </row>
    <row r="180" spans="1:9" s="316" customFormat="1" ht="15" customHeight="1" x14ac:dyDescent="0.25">
      <c r="A180" s="820"/>
      <c r="B180" s="835"/>
      <c r="C180" s="835"/>
      <c r="D180" s="273"/>
      <c r="E180" s="306" t="s">
        <v>289</v>
      </c>
      <c r="F180" s="307">
        <f>Pampanga!E159</f>
        <v>912</v>
      </c>
      <c r="G180" s="318">
        <f>Pampanga!F159</f>
        <v>5472000</v>
      </c>
      <c r="H180" s="307">
        <f>Pampanga!G159</f>
        <v>912</v>
      </c>
      <c r="I180" s="318">
        <f>Pampanga!H159</f>
        <v>5472000</v>
      </c>
    </row>
    <row r="181" spans="1:9" s="316" customFormat="1" ht="14.25" customHeight="1" x14ac:dyDescent="0.25">
      <c r="A181" s="820"/>
      <c r="B181" s="835"/>
      <c r="C181" s="835"/>
      <c r="D181" s="300" t="s">
        <v>299</v>
      </c>
      <c r="E181" s="300"/>
      <c r="F181" s="319">
        <f>F182+F183+F184</f>
        <v>2331</v>
      </c>
      <c r="G181" s="327">
        <f>G182+G183+G184</f>
        <v>13986000</v>
      </c>
      <c r="H181" s="319">
        <f>H182+H183+H184</f>
        <v>2331</v>
      </c>
      <c r="I181" s="327">
        <f>I182+I183+I184</f>
        <v>13986000</v>
      </c>
    </row>
    <row r="182" spans="1:9" s="316" customFormat="1" ht="15" customHeight="1" x14ac:dyDescent="0.25">
      <c r="A182" s="820"/>
      <c r="B182" s="835"/>
      <c r="C182" s="835"/>
      <c r="D182" s="273"/>
      <c r="E182" s="306" t="s">
        <v>248</v>
      </c>
      <c r="F182" s="307">
        <f>Tarlac!E113</f>
        <v>1022</v>
      </c>
      <c r="G182" s="318">
        <f>Tarlac!F113</f>
        <v>6132000</v>
      </c>
      <c r="H182" s="307">
        <f>Tarlac!G113</f>
        <v>1022</v>
      </c>
      <c r="I182" s="318">
        <f>Tarlac!H113</f>
        <v>6132000</v>
      </c>
    </row>
    <row r="183" spans="1:9" s="316" customFormat="1" ht="15" customHeight="1" x14ac:dyDescent="0.25">
      <c r="A183" s="820"/>
      <c r="B183" s="835"/>
      <c r="C183" s="835"/>
      <c r="D183" s="273"/>
      <c r="E183" s="306" t="s">
        <v>249</v>
      </c>
      <c r="F183" s="307">
        <f>Tarlac!E124</f>
        <v>772</v>
      </c>
      <c r="G183" s="318">
        <f>Tarlac!F124</f>
        <v>4632000</v>
      </c>
      <c r="H183" s="307">
        <f>Tarlac!G124</f>
        <v>772</v>
      </c>
      <c r="I183" s="318">
        <f>Tarlac!H124</f>
        <v>4632000</v>
      </c>
    </row>
    <row r="184" spans="1:9" s="316" customFormat="1" ht="15" customHeight="1" x14ac:dyDescent="0.25">
      <c r="A184" s="820"/>
      <c r="B184" s="835"/>
      <c r="C184" s="835"/>
      <c r="D184" s="273"/>
      <c r="E184" s="306" t="s">
        <v>288</v>
      </c>
      <c r="F184" s="307">
        <f>Tarlac!E129</f>
        <v>537</v>
      </c>
      <c r="G184" s="318">
        <f>Tarlac!F129</f>
        <v>3222000</v>
      </c>
      <c r="H184" s="307">
        <f>Tarlac!G129</f>
        <v>537</v>
      </c>
      <c r="I184" s="318">
        <f>Tarlac!H129</f>
        <v>3222000</v>
      </c>
    </row>
    <row r="185" spans="1:9" s="316" customFormat="1" ht="14.25" customHeight="1" x14ac:dyDescent="0.25">
      <c r="A185" s="820"/>
      <c r="B185" s="835"/>
      <c r="C185" s="835"/>
      <c r="D185" s="300" t="s">
        <v>300</v>
      </c>
      <c r="E185" s="300"/>
      <c r="F185" s="319">
        <f>F186+F187</f>
        <v>1120</v>
      </c>
      <c r="G185" s="327">
        <f>G186+G187</f>
        <v>4291000</v>
      </c>
      <c r="H185" s="319">
        <f>H186+H187</f>
        <v>1120</v>
      </c>
      <c r="I185" s="327">
        <f>I186+I187</f>
        <v>4291000</v>
      </c>
    </row>
    <row r="186" spans="1:9" s="316" customFormat="1" ht="15" customHeight="1" x14ac:dyDescent="0.25">
      <c r="A186" s="820"/>
      <c r="B186" s="835"/>
      <c r="C186" s="835"/>
      <c r="D186" s="273"/>
      <c r="E186" s="306" t="s">
        <v>248</v>
      </c>
      <c r="F186" s="307">
        <f>Zambales!E85</f>
        <v>296</v>
      </c>
      <c r="G186" s="318">
        <f>Zambales!F85</f>
        <v>1136000</v>
      </c>
      <c r="H186" s="307">
        <f>Zambales!G85</f>
        <v>296</v>
      </c>
      <c r="I186" s="318">
        <f>Zambales!H85</f>
        <v>1136000</v>
      </c>
    </row>
    <row r="187" spans="1:9" s="316" customFormat="1" ht="15" customHeight="1" x14ac:dyDescent="0.25">
      <c r="A187" s="821"/>
      <c r="B187" s="836"/>
      <c r="C187" s="836"/>
      <c r="D187" s="273"/>
      <c r="E187" s="306" t="s">
        <v>249</v>
      </c>
      <c r="F187" s="307">
        <f>Zambales!E90</f>
        <v>824</v>
      </c>
      <c r="G187" s="318">
        <f>Zambales!F90</f>
        <v>3155000</v>
      </c>
      <c r="H187" s="307">
        <f>Zambales!G90</f>
        <v>824</v>
      </c>
      <c r="I187" s="318">
        <f>Zambales!H90</f>
        <v>3155000</v>
      </c>
    </row>
    <row r="188" spans="1:9" s="336" customFormat="1" ht="15" customHeight="1" x14ac:dyDescent="0.25">
      <c r="B188" s="50"/>
      <c r="D188" s="337"/>
      <c r="F188" s="338"/>
      <c r="G188" s="339"/>
      <c r="H188" s="338"/>
      <c r="I188" s="339"/>
    </row>
    <row r="189" spans="1:9" s="336" customFormat="1" ht="15" customHeight="1" x14ac:dyDescent="0.25">
      <c r="B189" s="50"/>
      <c r="D189" s="337"/>
      <c r="F189" s="338"/>
      <c r="G189" s="339"/>
      <c r="H189" s="338"/>
      <c r="I189" s="339"/>
    </row>
    <row r="190" spans="1:9" s="336" customFormat="1" ht="15" customHeight="1" x14ac:dyDescent="0.25">
      <c r="B190" s="50"/>
      <c r="D190" s="337"/>
      <c r="F190" s="338"/>
      <c r="G190" s="339"/>
      <c r="H190" s="338"/>
      <c r="I190" s="339"/>
    </row>
    <row r="191" spans="1:9" s="336" customFormat="1" ht="15" customHeight="1" x14ac:dyDescent="0.25">
      <c r="B191" s="50"/>
      <c r="D191" s="337"/>
      <c r="F191" s="338"/>
      <c r="G191" s="339"/>
      <c r="H191" s="338"/>
      <c r="I191" s="339"/>
    </row>
    <row r="192" spans="1:9" s="336" customFormat="1" ht="15" customHeight="1" x14ac:dyDescent="0.25">
      <c r="B192" s="50"/>
      <c r="D192" s="337"/>
      <c r="F192" s="338"/>
      <c r="G192" s="339"/>
      <c r="H192" s="338"/>
      <c r="I192" s="339"/>
    </row>
    <row r="193" spans="1:9" s="336" customFormat="1" ht="15" customHeight="1" x14ac:dyDescent="0.25">
      <c r="B193" s="50"/>
      <c r="D193" s="337"/>
      <c r="F193" s="338"/>
      <c r="G193" s="339"/>
      <c r="H193" s="338"/>
      <c r="I193" s="339"/>
    </row>
    <row r="194" spans="1:9" s="316" customFormat="1" ht="15" customHeight="1" x14ac:dyDescent="0.25">
      <c r="A194" s="819" t="s">
        <v>17</v>
      </c>
      <c r="B194" s="822" t="s">
        <v>56</v>
      </c>
      <c r="C194" s="819" t="s">
        <v>18</v>
      </c>
      <c r="D194" s="268"/>
      <c r="E194" s="120" t="s">
        <v>81</v>
      </c>
      <c r="F194" s="330">
        <f>F195+F197+F200+F206+F211+F216+F220</f>
        <v>791</v>
      </c>
      <c r="G194" s="274">
        <f>G195+G197+G200+G206+G211+G216+G220</f>
        <v>1388732.5</v>
      </c>
      <c r="H194" s="330">
        <f>H195+H197+H200+H206+H211+H216+H220</f>
        <v>0</v>
      </c>
      <c r="I194" s="330">
        <f>I195+I197+I200+I206+I211+I216+I220</f>
        <v>0</v>
      </c>
    </row>
    <row r="195" spans="1:9" s="312" customFormat="1" ht="18.75" customHeight="1" x14ac:dyDescent="0.25">
      <c r="A195" s="820"/>
      <c r="B195" s="823"/>
      <c r="C195" s="820"/>
      <c r="D195" s="299" t="s">
        <v>294</v>
      </c>
      <c r="E195" s="298"/>
      <c r="F195" s="298">
        <f>F196</f>
        <v>14</v>
      </c>
      <c r="G195" s="326">
        <f>G196</f>
        <v>22558</v>
      </c>
      <c r="H195" s="298">
        <f>H196</f>
        <v>0</v>
      </c>
      <c r="I195" s="326">
        <f>I196</f>
        <v>0</v>
      </c>
    </row>
    <row r="196" spans="1:9" s="316" customFormat="1" ht="15" customHeight="1" x14ac:dyDescent="0.25">
      <c r="A196" s="820"/>
      <c r="B196" s="823"/>
      <c r="C196" s="820"/>
      <c r="D196" s="273"/>
      <c r="E196" s="301" t="s">
        <v>250</v>
      </c>
      <c r="F196" s="323">
        <f>Aurora!E69</f>
        <v>14</v>
      </c>
      <c r="G196" s="321">
        <f>Aurora!F69</f>
        <v>22558</v>
      </c>
      <c r="H196" s="323"/>
      <c r="I196" s="321"/>
    </row>
    <row r="197" spans="1:9" s="316" customFormat="1" ht="14.25" customHeight="1" x14ac:dyDescent="0.25">
      <c r="A197" s="820"/>
      <c r="B197" s="823"/>
      <c r="C197" s="820"/>
      <c r="D197" s="300" t="s">
        <v>295</v>
      </c>
      <c r="E197" s="300"/>
      <c r="F197" s="317">
        <f>F198+F199</f>
        <v>31</v>
      </c>
      <c r="G197" s="327">
        <f>G198+G199</f>
        <v>44122</v>
      </c>
      <c r="H197" s="317">
        <f>H198+H199</f>
        <v>0</v>
      </c>
      <c r="I197" s="327">
        <f>I198+I199</f>
        <v>0</v>
      </c>
    </row>
    <row r="198" spans="1:9" s="316" customFormat="1" ht="15" customHeight="1" x14ac:dyDescent="0.25">
      <c r="A198" s="820"/>
      <c r="B198" s="823"/>
      <c r="C198" s="820"/>
      <c r="D198" s="273"/>
      <c r="E198" s="306" t="s">
        <v>248</v>
      </c>
      <c r="F198" s="320">
        <f>Bataan!E92</f>
        <v>23</v>
      </c>
      <c r="G198" s="318">
        <f>Bataan!F92</f>
        <v>33450</v>
      </c>
      <c r="H198" s="320"/>
      <c r="I198" s="318"/>
    </row>
    <row r="199" spans="1:9" s="316" customFormat="1" ht="15" customHeight="1" x14ac:dyDescent="0.25">
      <c r="A199" s="820"/>
      <c r="B199" s="823"/>
      <c r="C199" s="820"/>
      <c r="D199" s="273"/>
      <c r="E199" s="306" t="s">
        <v>249</v>
      </c>
      <c r="F199" s="320">
        <f>Bataan!E99</f>
        <v>8</v>
      </c>
      <c r="G199" s="318">
        <f>Bataan!F99</f>
        <v>10672</v>
      </c>
      <c r="H199" s="320"/>
      <c r="I199" s="318"/>
    </row>
    <row r="200" spans="1:9" s="316" customFormat="1" ht="14.25" customHeight="1" x14ac:dyDescent="0.25">
      <c r="A200" s="820"/>
      <c r="B200" s="823"/>
      <c r="C200" s="820"/>
      <c r="D200" s="300" t="s">
        <v>296</v>
      </c>
      <c r="E200" s="300"/>
      <c r="F200" s="317">
        <f>F201+F202+F203+F204+F205</f>
        <v>161</v>
      </c>
      <c r="G200" s="327">
        <f>G201+G202+G203+G204+G205</f>
        <v>415249</v>
      </c>
      <c r="H200" s="317">
        <f>H201+H202+H203+H204+H205</f>
        <v>0</v>
      </c>
      <c r="I200" s="327">
        <f>I201+I202+I203+I204+I205</f>
        <v>0</v>
      </c>
    </row>
    <row r="201" spans="1:9" s="316" customFormat="1" ht="15" customHeight="1" x14ac:dyDescent="0.25">
      <c r="A201" s="820"/>
      <c r="B201" s="823"/>
      <c r="C201" s="820"/>
      <c r="D201" s="273"/>
      <c r="E201" s="306" t="s">
        <v>248</v>
      </c>
      <c r="F201" s="320">
        <f>Bulacan!E167</f>
        <v>63</v>
      </c>
      <c r="G201" s="318">
        <f>Bulacan!F167</f>
        <v>86550</v>
      </c>
      <c r="H201" s="320"/>
      <c r="I201" s="320"/>
    </row>
    <row r="202" spans="1:9" s="316" customFormat="1" ht="15" customHeight="1" x14ac:dyDescent="0.25">
      <c r="A202" s="820"/>
      <c r="B202" s="823"/>
      <c r="C202" s="820"/>
      <c r="D202" s="273"/>
      <c r="E202" s="306" t="s">
        <v>249</v>
      </c>
      <c r="F202" s="307">
        <f>Bulacan!E174</f>
        <v>26</v>
      </c>
      <c r="G202" s="318">
        <f>Bulacan!F174</f>
        <v>213075</v>
      </c>
      <c r="H202" s="307"/>
      <c r="I202" s="307"/>
    </row>
    <row r="203" spans="1:9" s="316" customFormat="1" ht="15" customHeight="1" x14ac:dyDescent="0.25">
      <c r="A203" s="820"/>
      <c r="B203" s="823"/>
      <c r="C203" s="820"/>
      <c r="D203" s="273"/>
      <c r="E203" s="306" t="s">
        <v>288</v>
      </c>
      <c r="F203" s="307">
        <f>Bulacan!E182</f>
        <v>38</v>
      </c>
      <c r="G203" s="318">
        <f>Bulacan!F182</f>
        <v>62687</v>
      </c>
      <c r="H203" s="307"/>
      <c r="I203" s="307"/>
    </row>
    <row r="204" spans="1:9" s="316" customFormat="1" ht="15" customHeight="1" x14ac:dyDescent="0.25">
      <c r="A204" s="820"/>
      <c r="B204" s="823"/>
      <c r="C204" s="820"/>
      <c r="D204" s="273"/>
      <c r="E204" s="306" t="s">
        <v>289</v>
      </c>
      <c r="F204" s="307">
        <f>Bulacan!E189</f>
        <v>10</v>
      </c>
      <c r="G204" s="318">
        <f>Bulacan!F189</f>
        <v>18472</v>
      </c>
      <c r="H204" s="307"/>
      <c r="I204" s="307"/>
    </row>
    <row r="205" spans="1:9" s="316" customFormat="1" ht="15" customHeight="1" x14ac:dyDescent="0.25">
      <c r="A205" s="820"/>
      <c r="B205" s="823"/>
      <c r="C205" s="820"/>
      <c r="D205" s="273"/>
      <c r="E205" s="306" t="s">
        <v>290</v>
      </c>
      <c r="F205" s="307">
        <f>Bulacan!E194</f>
        <v>24</v>
      </c>
      <c r="G205" s="318">
        <f>Bulacan!F194</f>
        <v>34465</v>
      </c>
      <c r="H205" s="307"/>
      <c r="I205" s="307"/>
    </row>
    <row r="206" spans="1:9" s="316" customFormat="1" ht="14.25" customHeight="1" x14ac:dyDescent="0.25">
      <c r="A206" s="820"/>
      <c r="B206" s="823"/>
      <c r="C206" s="820"/>
      <c r="D206" s="300" t="s">
        <v>297</v>
      </c>
      <c r="E206" s="300"/>
      <c r="F206" s="319">
        <f>F207+F208+F209+F210</f>
        <v>52</v>
      </c>
      <c r="G206" s="327">
        <f>G207+G208+G209+G210</f>
        <v>131417</v>
      </c>
      <c r="H206" s="319">
        <f>H207+H208+H209+H210</f>
        <v>0</v>
      </c>
      <c r="I206" s="327">
        <f>I207+I208+I209+I210</f>
        <v>0</v>
      </c>
    </row>
    <row r="207" spans="1:9" s="316" customFormat="1" ht="15" customHeight="1" x14ac:dyDescent="0.25">
      <c r="A207" s="820"/>
      <c r="B207" s="823"/>
      <c r="C207" s="820"/>
      <c r="D207" s="273"/>
      <c r="E207" s="306" t="s">
        <v>248</v>
      </c>
      <c r="F207" s="320">
        <f>'Nueva Ecija'!E212</f>
        <v>10</v>
      </c>
      <c r="G207" s="318">
        <f>'Nueva Ecija'!F212</f>
        <v>21204</v>
      </c>
      <c r="H207" s="320"/>
      <c r="I207" s="320"/>
    </row>
    <row r="208" spans="1:9" s="316" customFormat="1" ht="15" customHeight="1" x14ac:dyDescent="0.25">
      <c r="A208" s="820"/>
      <c r="B208" s="823"/>
      <c r="C208" s="820"/>
      <c r="D208" s="273"/>
      <c r="E208" s="306" t="s">
        <v>249</v>
      </c>
      <c r="F208" s="307">
        <f>'Nueva Ecija'!E222</f>
        <v>11</v>
      </c>
      <c r="G208" s="318">
        <f>'Nueva Ecija'!F222</f>
        <v>42241</v>
      </c>
      <c r="H208" s="307"/>
      <c r="I208" s="307"/>
    </row>
    <row r="209" spans="1:9" s="316" customFormat="1" ht="15" customHeight="1" x14ac:dyDescent="0.25">
      <c r="A209" s="820"/>
      <c r="B209" s="823"/>
      <c r="C209" s="820"/>
      <c r="D209" s="273"/>
      <c r="E209" s="306" t="s">
        <v>288</v>
      </c>
      <c r="F209" s="307">
        <f>'Nueva Ecija'!E231</f>
        <v>22</v>
      </c>
      <c r="G209" s="318">
        <f>'Nueva Ecija'!F231</f>
        <v>30472</v>
      </c>
      <c r="H209" s="307"/>
      <c r="I209" s="307"/>
    </row>
    <row r="210" spans="1:9" s="316" customFormat="1" ht="15" customHeight="1" x14ac:dyDescent="0.25">
      <c r="A210" s="820"/>
      <c r="B210" s="823"/>
      <c r="C210" s="820"/>
      <c r="D210" s="273"/>
      <c r="E210" s="306" t="s">
        <v>289</v>
      </c>
      <c r="F210" s="307">
        <f>'Nueva Ecija'!E239</f>
        <v>9</v>
      </c>
      <c r="G210" s="318">
        <f>'Nueva Ecija'!F239</f>
        <v>37500</v>
      </c>
      <c r="H210" s="307"/>
      <c r="I210" s="307"/>
    </row>
    <row r="211" spans="1:9" s="316" customFormat="1" ht="14.25" customHeight="1" x14ac:dyDescent="0.25">
      <c r="A211" s="820"/>
      <c r="B211" s="823"/>
      <c r="C211" s="820"/>
      <c r="D211" s="300" t="s">
        <v>298</v>
      </c>
      <c r="E211" s="300"/>
      <c r="F211" s="319">
        <f>F212+F213+F214+F215</f>
        <v>474</v>
      </c>
      <c r="G211" s="327">
        <f>G212+G213+G214+G215</f>
        <v>694175.5</v>
      </c>
      <c r="H211" s="319">
        <f>H212+H213+H214+H215</f>
        <v>0</v>
      </c>
      <c r="I211" s="327">
        <f>I212+I213+I214+I215</f>
        <v>0</v>
      </c>
    </row>
    <row r="212" spans="1:9" s="316" customFormat="1" ht="15" customHeight="1" x14ac:dyDescent="0.25">
      <c r="A212" s="820"/>
      <c r="B212" s="823"/>
      <c r="C212" s="820"/>
      <c r="D212" s="273"/>
      <c r="E212" s="306" t="s">
        <v>248</v>
      </c>
      <c r="F212" s="307">
        <f>Pampanga!E180</f>
        <v>59</v>
      </c>
      <c r="G212" s="318">
        <f>Pampanga!F180</f>
        <v>108698</v>
      </c>
      <c r="H212" s="307"/>
      <c r="I212" s="307"/>
    </row>
    <row r="213" spans="1:9" s="316" customFormat="1" ht="15" customHeight="1" x14ac:dyDescent="0.25">
      <c r="A213" s="820"/>
      <c r="B213" s="823"/>
      <c r="C213" s="820"/>
      <c r="D213" s="273"/>
      <c r="E213" s="306" t="s">
        <v>249</v>
      </c>
      <c r="F213" s="307">
        <f>Pampanga!E184</f>
        <v>99</v>
      </c>
      <c r="G213" s="318">
        <f>Pampanga!F184</f>
        <v>133207.75</v>
      </c>
      <c r="H213" s="307"/>
      <c r="I213" s="307"/>
    </row>
    <row r="214" spans="1:9" s="316" customFormat="1" ht="15" customHeight="1" x14ac:dyDescent="0.25">
      <c r="A214" s="820"/>
      <c r="B214" s="823"/>
      <c r="C214" s="820"/>
      <c r="D214" s="273"/>
      <c r="E214" s="306" t="s">
        <v>288</v>
      </c>
      <c r="F214" s="307">
        <f>Pampanga!E191</f>
        <v>247</v>
      </c>
      <c r="G214" s="318">
        <f>Pampanga!F191</f>
        <v>357213.75</v>
      </c>
      <c r="H214" s="307"/>
      <c r="I214" s="307"/>
    </row>
    <row r="215" spans="1:9" s="316" customFormat="1" ht="15" customHeight="1" x14ac:dyDescent="0.25">
      <c r="A215" s="820"/>
      <c r="B215" s="823"/>
      <c r="C215" s="820"/>
      <c r="D215" s="273"/>
      <c r="E215" s="306" t="s">
        <v>289</v>
      </c>
      <c r="F215" s="307">
        <f>Pampanga!E197</f>
        <v>69</v>
      </c>
      <c r="G215" s="318">
        <f>Pampanga!F197</f>
        <v>95056</v>
      </c>
      <c r="H215" s="307"/>
      <c r="I215" s="307"/>
    </row>
    <row r="216" spans="1:9" s="316" customFormat="1" ht="14.25" customHeight="1" x14ac:dyDescent="0.25">
      <c r="A216" s="820"/>
      <c r="B216" s="823"/>
      <c r="C216" s="820"/>
      <c r="D216" s="300" t="s">
        <v>299</v>
      </c>
      <c r="E216" s="300"/>
      <c r="F216" s="319">
        <f>F217+F218+F219</f>
        <v>29</v>
      </c>
      <c r="G216" s="327">
        <f>G217+G218+G219</f>
        <v>37036</v>
      </c>
      <c r="H216" s="319">
        <f>H217+H218+H219</f>
        <v>0</v>
      </c>
      <c r="I216" s="327">
        <f>I217+I218+I219</f>
        <v>0</v>
      </c>
    </row>
    <row r="217" spans="1:9" s="316" customFormat="1" ht="15" customHeight="1" x14ac:dyDescent="0.25">
      <c r="A217" s="820"/>
      <c r="B217" s="823"/>
      <c r="C217" s="820"/>
      <c r="D217" s="273"/>
      <c r="E217" s="306" t="s">
        <v>248</v>
      </c>
      <c r="F217" s="307">
        <f>Tarlac!E136</f>
        <v>6</v>
      </c>
      <c r="G217" s="318">
        <f>Tarlac!F136</f>
        <v>6350</v>
      </c>
      <c r="H217" s="307"/>
      <c r="I217" s="318"/>
    </row>
    <row r="218" spans="1:9" s="316" customFormat="1" ht="15" customHeight="1" x14ac:dyDescent="0.25">
      <c r="A218" s="820"/>
      <c r="B218" s="823"/>
      <c r="C218" s="820"/>
      <c r="D218" s="273"/>
      <c r="E218" s="306" t="s">
        <v>249</v>
      </c>
      <c r="F218" s="307">
        <f>Tarlac!E147</f>
        <v>11</v>
      </c>
      <c r="G218" s="318">
        <f>Tarlac!F147</f>
        <v>17250</v>
      </c>
      <c r="H218" s="307"/>
      <c r="I218" s="318"/>
    </row>
    <row r="219" spans="1:9" s="316" customFormat="1" ht="15" customHeight="1" x14ac:dyDescent="0.25">
      <c r="A219" s="820"/>
      <c r="B219" s="823"/>
      <c r="C219" s="820"/>
      <c r="D219" s="273"/>
      <c r="E219" s="306" t="s">
        <v>288</v>
      </c>
      <c r="F219" s="307">
        <f>Tarlac!E152</f>
        <v>12</v>
      </c>
      <c r="G219" s="318">
        <f>Tarlac!F152</f>
        <v>13436</v>
      </c>
      <c r="H219" s="307"/>
      <c r="I219" s="318"/>
    </row>
    <row r="220" spans="1:9" s="316" customFormat="1" ht="14.25" customHeight="1" x14ac:dyDescent="0.25">
      <c r="A220" s="820"/>
      <c r="B220" s="823"/>
      <c r="C220" s="820"/>
      <c r="D220" s="300" t="s">
        <v>300</v>
      </c>
      <c r="E220" s="300"/>
      <c r="F220" s="319">
        <f>F221+F222</f>
        <v>30</v>
      </c>
      <c r="G220" s="327">
        <f>G221+G222</f>
        <v>44175</v>
      </c>
      <c r="H220" s="319">
        <f>H221+H222</f>
        <v>0</v>
      </c>
      <c r="I220" s="327">
        <f>I221+I222</f>
        <v>0</v>
      </c>
    </row>
    <row r="221" spans="1:9" s="316" customFormat="1" ht="15" customHeight="1" x14ac:dyDescent="0.25">
      <c r="A221" s="820"/>
      <c r="B221" s="823"/>
      <c r="C221" s="820"/>
      <c r="D221" s="273"/>
      <c r="E221" s="306" t="s">
        <v>248</v>
      </c>
      <c r="F221" s="307">
        <f>Zambales!E103</f>
        <v>24</v>
      </c>
      <c r="G221" s="318">
        <f>Zambales!F103</f>
        <v>34250</v>
      </c>
      <c r="H221" s="307"/>
      <c r="I221" s="318"/>
    </row>
    <row r="222" spans="1:9" s="316" customFormat="1" ht="15" customHeight="1" x14ac:dyDescent="0.25">
      <c r="A222" s="821"/>
      <c r="B222" s="824"/>
      <c r="C222" s="821"/>
      <c r="D222" s="273"/>
      <c r="E222" s="306" t="s">
        <v>249</v>
      </c>
      <c r="F222" s="307">
        <f>Zambales!E108</f>
        <v>6</v>
      </c>
      <c r="G222" s="318">
        <f>Zambales!F108</f>
        <v>9925</v>
      </c>
      <c r="H222" s="307"/>
      <c r="I222" s="318"/>
    </row>
    <row r="223" spans="1:9" s="336" customFormat="1" ht="15" customHeight="1" x14ac:dyDescent="0.25">
      <c r="B223" s="50"/>
      <c r="D223" s="337"/>
      <c r="F223" s="338"/>
      <c r="G223" s="339"/>
      <c r="H223" s="338"/>
      <c r="I223" s="339"/>
    </row>
    <row r="224" spans="1:9" s="336" customFormat="1" ht="15" customHeight="1" x14ac:dyDescent="0.25">
      <c r="B224" s="50"/>
      <c r="D224" s="337"/>
      <c r="F224" s="338"/>
      <c r="G224" s="339"/>
      <c r="H224" s="338"/>
      <c r="I224" s="339"/>
    </row>
    <row r="225" spans="1:10" s="336" customFormat="1" ht="15" customHeight="1" x14ac:dyDescent="0.25">
      <c r="B225" s="50"/>
      <c r="D225" s="337"/>
      <c r="F225" s="338"/>
      <c r="G225" s="339"/>
      <c r="H225" s="338"/>
      <c r="I225" s="339"/>
    </row>
    <row r="226" spans="1:10" s="336" customFormat="1" ht="15" customHeight="1" x14ac:dyDescent="0.25">
      <c r="B226" s="50"/>
      <c r="D226" s="337"/>
      <c r="F226" s="338"/>
      <c r="G226" s="339"/>
      <c r="H226" s="338"/>
      <c r="I226" s="339"/>
    </row>
    <row r="227" spans="1:10" s="336" customFormat="1" ht="15" customHeight="1" x14ac:dyDescent="0.25">
      <c r="B227" s="50"/>
      <c r="D227" s="337"/>
      <c r="F227" s="338"/>
      <c r="G227" s="339"/>
      <c r="H227" s="338"/>
      <c r="I227" s="339"/>
    </row>
    <row r="228" spans="1:10" s="336" customFormat="1" ht="15" customHeight="1" x14ac:dyDescent="0.25">
      <c r="B228" s="50"/>
      <c r="D228" s="337"/>
      <c r="F228" s="338"/>
      <c r="G228" s="339"/>
      <c r="H228" s="338"/>
      <c r="I228" s="339"/>
    </row>
    <row r="229" spans="1:10" s="322" customFormat="1" ht="21.75" customHeight="1" x14ac:dyDescent="0.25">
      <c r="A229" s="820" t="s">
        <v>23</v>
      </c>
      <c r="B229" s="831" t="s">
        <v>58</v>
      </c>
      <c r="C229" s="820" t="s">
        <v>24</v>
      </c>
      <c r="D229" s="268"/>
      <c r="E229" s="120" t="s">
        <v>81</v>
      </c>
      <c r="F229" s="330">
        <f>F230+F232+F235+F241+F246+F251+F255</f>
        <v>182021</v>
      </c>
      <c r="G229" s="274">
        <f>G230+G232+G235+G241+G246+G251+G255</f>
        <v>49301095.57</v>
      </c>
      <c r="H229" s="330">
        <f>H230+H232+H235+H241+H246+H251+H255</f>
        <v>0</v>
      </c>
      <c r="I229" s="330">
        <f>I230+I232+I235+I241+I246+I251+I255</f>
        <v>0</v>
      </c>
      <c r="J229" s="66"/>
    </row>
    <row r="230" spans="1:10" s="312" customFormat="1" ht="18.75" customHeight="1" x14ac:dyDescent="0.25">
      <c r="A230" s="820"/>
      <c r="B230" s="832"/>
      <c r="C230" s="820"/>
      <c r="D230" s="299" t="s">
        <v>294</v>
      </c>
      <c r="E230" s="298"/>
      <c r="F230" s="298">
        <f>F231</f>
        <v>10960</v>
      </c>
      <c r="G230" s="326">
        <f>G231</f>
        <v>2968231.08</v>
      </c>
      <c r="H230" s="298">
        <f>H231</f>
        <v>0</v>
      </c>
      <c r="I230" s="326">
        <f>I231</f>
        <v>0</v>
      </c>
    </row>
    <row r="231" spans="1:10" s="322" customFormat="1" ht="21" customHeight="1" x14ac:dyDescent="0.25">
      <c r="A231" s="820"/>
      <c r="B231" s="832"/>
      <c r="C231" s="820"/>
      <c r="D231" s="273"/>
      <c r="E231" s="301" t="s">
        <v>250</v>
      </c>
      <c r="F231" s="323">
        <f>Aurora!E79</f>
        <v>10960</v>
      </c>
      <c r="G231" s="321">
        <f>Aurora!F79</f>
        <v>2968231.08</v>
      </c>
      <c r="H231" s="323"/>
      <c r="I231" s="321"/>
      <c r="J231" s="66"/>
    </row>
    <row r="232" spans="1:10" s="316" customFormat="1" ht="14.25" customHeight="1" x14ac:dyDescent="0.25">
      <c r="A232" s="820"/>
      <c r="B232" s="832"/>
      <c r="C232" s="820"/>
      <c r="D232" s="300" t="s">
        <v>295</v>
      </c>
      <c r="E232" s="300"/>
      <c r="F232" s="317">
        <f>F233+F234</f>
        <v>14182</v>
      </c>
      <c r="G232" s="327">
        <f>G233+G234</f>
        <v>3878285.58</v>
      </c>
      <c r="H232" s="317">
        <f>H233+H234</f>
        <v>0</v>
      </c>
      <c r="I232" s="327">
        <f>I233+I234</f>
        <v>0</v>
      </c>
    </row>
    <row r="233" spans="1:10" s="324" customFormat="1" x14ac:dyDescent="0.25">
      <c r="A233" s="820"/>
      <c r="B233" s="832"/>
      <c r="C233" s="820"/>
      <c r="D233" s="273"/>
      <c r="E233" s="306" t="s">
        <v>248</v>
      </c>
      <c r="F233" s="320">
        <f>Bataan!E109</f>
        <v>11604</v>
      </c>
      <c r="G233" s="318">
        <f>Bataan!F109</f>
        <v>3037440</v>
      </c>
      <c r="H233" s="320"/>
      <c r="I233" s="318"/>
    </row>
    <row r="234" spans="1:10" s="325" customFormat="1" x14ac:dyDescent="0.25">
      <c r="A234" s="820"/>
      <c r="B234" s="832"/>
      <c r="C234" s="820"/>
      <c r="D234" s="273"/>
      <c r="E234" s="306" t="s">
        <v>249</v>
      </c>
      <c r="F234" s="307">
        <f>Bataan!E117</f>
        <v>2578</v>
      </c>
      <c r="G234" s="318">
        <f>Bataan!F117</f>
        <v>840845.58000000007</v>
      </c>
      <c r="H234" s="307"/>
      <c r="I234" s="318"/>
    </row>
    <row r="235" spans="1:10" s="316" customFormat="1" ht="14.25" customHeight="1" x14ac:dyDescent="0.25">
      <c r="A235" s="820"/>
      <c r="B235" s="832"/>
      <c r="C235" s="820"/>
      <c r="D235" s="300" t="s">
        <v>296</v>
      </c>
      <c r="E235" s="300"/>
      <c r="F235" s="317">
        <f>F236+F237+F238+F239+F240</f>
        <v>66986</v>
      </c>
      <c r="G235" s="327">
        <f>G236+G237+G238+G239+G240</f>
        <v>17677929.82</v>
      </c>
      <c r="H235" s="317">
        <f>H236+H237+H238+H239+H240</f>
        <v>0</v>
      </c>
      <c r="I235" s="327">
        <f>I236+I237+I238+I239+I240</f>
        <v>0</v>
      </c>
    </row>
    <row r="236" spans="1:10" s="325" customFormat="1" x14ac:dyDescent="0.25">
      <c r="A236" s="820"/>
      <c r="B236" s="832"/>
      <c r="C236" s="820"/>
      <c r="D236" s="273"/>
      <c r="E236" s="306" t="s">
        <v>248</v>
      </c>
      <c r="F236" s="320">
        <f>Bulacan!E199</f>
        <v>48941</v>
      </c>
      <c r="G236" s="318">
        <f>Bulacan!F199</f>
        <v>13037479.1</v>
      </c>
      <c r="H236" s="320"/>
      <c r="I236" s="320"/>
    </row>
    <row r="237" spans="1:10" s="325" customFormat="1" x14ac:dyDescent="0.25">
      <c r="A237" s="820"/>
      <c r="B237" s="832"/>
      <c r="C237" s="820"/>
      <c r="D237" s="273"/>
      <c r="E237" s="306" t="s">
        <v>249</v>
      </c>
      <c r="F237" s="307">
        <f>Bulacan!E207</f>
        <v>1267</v>
      </c>
      <c r="G237" s="318">
        <f>Bulacan!F207</f>
        <v>316802.02</v>
      </c>
      <c r="H237" s="307"/>
      <c r="I237" s="307"/>
    </row>
    <row r="238" spans="1:10" s="325" customFormat="1" x14ac:dyDescent="0.25">
      <c r="A238" s="820"/>
      <c r="B238" s="832"/>
      <c r="C238" s="820"/>
      <c r="D238" s="273"/>
      <c r="E238" s="306" t="s">
        <v>288</v>
      </c>
      <c r="F238" s="307">
        <f>Bulacan!E215</f>
        <v>10700</v>
      </c>
      <c r="G238" s="318">
        <f>Bulacan!F215</f>
        <v>2680085.5</v>
      </c>
      <c r="H238" s="307"/>
      <c r="I238" s="307"/>
    </row>
    <row r="239" spans="1:10" s="325" customFormat="1" ht="15.75" customHeight="1" x14ac:dyDescent="0.25">
      <c r="A239" s="820"/>
      <c r="B239" s="832"/>
      <c r="C239" s="820"/>
      <c r="D239" s="273"/>
      <c r="E239" s="306" t="s">
        <v>289</v>
      </c>
      <c r="F239" s="307">
        <f>Bulacan!E223</f>
        <v>6078</v>
      </c>
      <c r="G239" s="318">
        <f>Bulacan!F223</f>
        <v>1643563.2</v>
      </c>
      <c r="H239" s="307"/>
      <c r="I239" s="307"/>
    </row>
    <row r="240" spans="1:10" s="325" customFormat="1" ht="15.75" customHeight="1" x14ac:dyDescent="0.25">
      <c r="A240" s="820"/>
      <c r="B240" s="832"/>
      <c r="C240" s="820"/>
      <c r="D240" s="273"/>
      <c r="E240" s="306" t="s">
        <v>290</v>
      </c>
      <c r="F240" s="307">
        <f>Bulacan!E228</f>
        <v>0</v>
      </c>
      <c r="G240" s="318">
        <f>Bulacan!F228</f>
        <v>0</v>
      </c>
      <c r="H240" s="307"/>
      <c r="I240" s="307"/>
    </row>
    <row r="241" spans="1:9" s="316" customFormat="1" ht="14.25" customHeight="1" x14ac:dyDescent="0.25">
      <c r="A241" s="820"/>
      <c r="B241" s="832"/>
      <c r="C241" s="820"/>
      <c r="D241" s="300" t="s">
        <v>297</v>
      </c>
      <c r="E241" s="300"/>
      <c r="F241" s="319">
        <f>F242+F243+F244+F245</f>
        <v>24315</v>
      </c>
      <c r="G241" s="327">
        <f>G242+G243+G244+G245</f>
        <v>6322466.2599999998</v>
      </c>
      <c r="H241" s="319">
        <f>H242+H243+H244+H245</f>
        <v>0</v>
      </c>
      <c r="I241" s="327">
        <f>I242+I243+I244+I245</f>
        <v>0</v>
      </c>
    </row>
    <row r="242" spans="1:9" s="325" customFormat="1" ht="15.75" customHeight="1" x14ac:dyDescent="0.25">
      <c r="A242" s="820"/>
      <c r="B242" s="832"/>
      <c r="C242" s="820"/>
      <c r="D242" s="273"/>
      <c r="E242" s="306" t="s">
        <v>248</v>
      </c>
      <c r="F242" s="320">
        <f>'Nueva Ecija'!E251</f>
        <v>3785</v>
      </c>
      <c r="G242" s="318">
        <f>'Nueva Ecija'!F251</f>
        <v>1196250</v>
      </c>
      <c r="H242" s="320"/>
      <c r="I242" s="318"/>
    </row>
    <row r="243" spans="1:9" s="325" customFormat="1" ht="15.75" customHeight="1" x14ac:dyDescent="0.25">
      <c r="A243" s="820"/>
      <c r="B243" s="832"/>
      <c r="C243" s="820"/>
      <c r="D243" s="273"/>
      <c r="E243" s="306" t="s">
        <v>249</v>
      </c>
      <c r="F243" s="307">
        <f>'Nueva Ecija'!E261</f>
        <v>990</v>
      </c>
      <c r="G243" s="318">
        <f>'Nueva Ecija'!F261</f>
        <v>247550</v>
      </c>
      <c r="H243" s="307"/>
      <c r="I243" s="318"/>
    </row>
    <row r="244" spans="1:9" s="325" customFormat="1" ht="15.75" customHeight="1" x14ac:dyDescent="0.25">
      <c r="A244" s="820"/>
      <c r="B244" s="832"/>
      <c r="C244" s="820"/>
      <c r="D244" s="273"/>
      <c r="E244" s="306" t="s">
        <v>288</v>
      </c>
      <c r="F244" s="307">
        <f>'Nueva Ecija'!E270</f>
        <v>7595</v>
      </c>
      <c r="G244" s="318">
        <f>'Nueva Ecija'!F270</f>
        <v>1892400.76</v>
      </c>
      <c r="H244" s="307"/>
      <c r="I244" s="318"/>
    </row>
    <row r="245" spans="1:9" s="325" customFormat="1" ht="15.75" customHeight="1" x14ac:dyDescent="0.25">
      <c r="A245" s="820"/>
      <c r="B245" s="832"/>
      <c r="C245" s="820"/>
      <c r="D245" s="273"/>
      <c r="E245" s="306" t="s">
        <v>289</v>
      </c>
      <c r="F245" s="307">
        <f>'Nueva Ecija'!E278</f>
        <v>11945</v>
      </c>
      <c r="G245" s="318">
        <f>'Nueva Ecija'!F278</f>
        <v>2986265.5</v>
      </c>
      <c r="H245" s="307"/>
      <c r="I245" s="318"/>
    </row>
    <row r="246" spans="1:9" s="316" customFormat="1" ht="14.25" customHeight="1" x14ac:dyDescent="0.25">
      <c r="A246" s="820"/>
      <c r="B246" s="832"/>
      <c r="C246" s="820"/>
      <c r="D246" s="300" t="s">
        <v>298</v>
      </c>
      <c r="E246" s="300"/>
      <c r="F246" s="319">
        <f>F247+F248+F249+F250</f>
        <v>28164</v>
      </c>
      <c r="G246" s="327">
        <f>G247+G248+G249+G250</f>
        <v>8310090.6200000001</v>
      </c>
      <c r="H246" s="319">
        <f>H247+H248+H249+H250</f>
        <v>0</v>
      </c>
      <c r="I246" s="327">
        <f>I247+I248+I249+I250</f>
        <v>0</v>
      </c>
    </row>
    <row r="247" spans="1:9" s="325" customFormat="1" ht="15.75" customHeight="1" x14ac:dyDescent="0.25">
      <c r="A247" s="820"/>
      <c r="B247" s="832"/>
      <c r="C247" s="820"/>
      <c r="D247" s="273"/>
      <c r="E247" s="306" t="s">
        <v>248</v>
      </c>
      <c r="F247" s="307">
        <f>Pampanga!E208</f>
        <v>1645</v>
      </c>
      <c r="G247" s="318">
        <f>Pampanga!F208</f>
        <v>509649.24</v>
      </c>
      <c r="H247" s="307"/>
      <c r="I247" s="307"/>
    </row>
    <row r="248" spans="1:9" s="325" customFormat="1" ht="15.75" customHeight="1" x14ac:dyDescent="0.25">
      <c r="A248" s="820"/>
      <c r="B248" s="832"/>
      <c r="C248" s="820"/>
      <c r="D248" s="273"/>
      <c r="E248" s="306" t="s">
        <v>249</v>
      </c>
      <c r="F248" s="307">
        <f>Pampanga!E213</f>
        <v>3471</v>
      </c>
      <c r="G248" s="318">
        <f>Pampanga!F213</f>
        <v>1038648.5000000001</v>
      </c>
      <c r="H248" s="307"/>
      <c r="I248" s="307"/>
    </row>
    <row r="249" spans="1:9" s="325" customFormat="1" ht="15.75" customHeight="1" x14ac:dyDescent="0.25">
      <c r="A249" s="820"/>
      <c r="B249" s="832"/>
      <c r="C249" s="820"/>
      <c r="D249" s="273"/>
      <c r="E249" s="306" t="s">
        <v>288</v>
      </c>
      <c r="F249" s="307">
        <f>Pampanga!E220</f>
        <v>3913</v>
      </c>
      <c r="G249" s="318">
        <f>Pampanga!F220</f>
        <v>1101750.97</v>
      </c>
      <c r="H249" s="307"/>
      <c r="I249" s="307"/>
    </row>
    <row r="250" spans="1:9" s="325" customFormat="1" ht="15.75" customHeight="1" x14ac:dyDescent="0.25">
      <c r="A250" s="820"/>
      <c r="B250" s="832"/>
      <c r="C250" s="820"/>
      <c r="D250" s="273"/>
      <c r="E250" s="306" t="s">
        <v>289</v>
      </c>
      <c r="F250" s="307">
        <f>Pampanga!E227</f>
        <v>19135</v>
      </c>
      <c r="G250" s="318">
        <f>Pampanga!F227</f>
        <v>5660041.9100000001</v>
      </c>
      <c r="H250" s="307"/>
      <c r="I250" s="307"/>
    </row>
    <row r="251" spans="1:9" s="316" customFormat="1" ht="14.25" customHeight="1" x14ac:dyDescent="0.25">
      <c r="A251" s="820"/>
      <c r="B251" s="832"/>
      <c r="C251" s="820"/>
      <c r="D251" s="300" t="s">
        <v>299</v>
      </c>
      <c r="E251" s="300"/>
      <c r="F251" s="319">
        <f>F252+F253+F254</f>
        <v>21577</v>
      </c>
      <c r="G251" s="327">
        <f>G252+G253+G254</f>
        <v>5911172.8499999996</v>
      </c>
      <c r="H251" s="319">
        <f>H252+H253+H254</f>
        <v>0</v>
      </c>
      <c r="I251" s="327">
        <f>I252+I253+I254</f>
        <v>0</v>
      </c>
    </row>
    <row r="252" spans="1:9" s="325" customFormat="1" ht="15.75" customHeight="1" x14ac:dyDescent="0.25">
      <c r="A252" s="820"/>
      <c r="B252" s="832"/>
      <c r="C252" s="820"/>
      <c r="D252" s="273"/>
      <c r="E252" s="306" t="s">
        <v>248</v>
      </c>
      <c r="F252" s="307">
        <f>Tarlac!E160</f>
        <v>5160</v>
      </c>
      <c r="G252" s="318">
        <f>Tarlac!F160</f>
        <v>1383286.17</v>
      </c>
      <c r="H252" s="307"/>
      <c r="I252" s="318"/>
    </row>
    <row r="253" spans="1:9" s="325" customFormat="1" ht="15.75" customHeight="1" x14ac:dyDescent="0.25">
      <c r="A253" s="820"/>
      <c r="B253" s="832"/>
      <c r="C253" s="820"/>
      <c r="D253" s="273"/>
      <c r="E253" s="306" t="s">
        <v>249</v>
      </c>
      <c r="F253" s="307">
        <f>Tarlac!E171</f>
        <v>3100</v>
      </c>
      <c r="G253" s="318">
        <f>Tarlac!F171</f>
        <v>935728</v>
      </c>
      <c r="H253" s="307"/>
      <c r="I253" s="318"/>
    </row>
    <row r="254" spans="1:9" s="325" customFormat="1" ht="15.75" customHeight="1" x14ac:dyDescent="0.25">
      <c r="A254" s="820"/>
      <c r="B254" s="832"/>
      <c r="C254" s="820"/>
      <c r="D254" s="273"/>
      <c r="E254" s="306" t="s">
        <v>288</v>
      </c>
      <c r="F254" s="307">
        <f>Tarlac!E177</f>
        <v>13317</v>
      </c>
      <c r="G254" s="318">
        <f>Tarlac!F177</f>
        <v>3592158.68</v>
      </c>
      <c r="H254" s="307"/>
      <c r="I254" s="318"/>
    </row>
    <row r="255" spans="1:9" s="316" customFormat="1" ht="14.25" customHeight="1" x14ac:dyDescent="0.25">
      <c r="A255" s="820"/>
      <c r="B255" s="832"/>
      <c r="C255" s="820"/>
      <c r="D255" s="300" t="s">
        <v>300</v>
      </c>
      <c r="E255" s="300"/>
      <c r="F255" s="319">
        <f>F256+F257</f>
        <v>15837</v>
      </c>
      <c r="G255" s="327">
        <f>G256+G257</f>
        <v>4232919.3599999994</v>
      </c>
      <c r="H255" s="319">
        <f>H256+H257</f>
        <v>0</v>
      </c>
      <c r="I255" s="327">
        <f>I256+I257</f>
        <v>0</v>
      </c>
    </row>
    <row r="256" spans="1:9" s="325" customFormat="1" ht="15.75" customHeight="1" x14ac:dyDescent="0.25">
      <c r="A256" s="820"/>
      <c r="B256" s="832"/>
      <c r="C256" s="820"/>
      <c r="D256" s="273"/>
      <c r="E256" s="306" t="s">
        <v>248</v>
      </c>
      <c r="F256" s="307">
        <f>Zambales!E127</f>
        <v>6673</v>
      </c>
      <c r="G256" s="318">
        <f>Zambales!F127</f>
        <v>1912219.3599999999</v>
      </c>
      <c r="H256" s="307"/>
      <c r="I256" s="318"/>
    </row>
    <row r="257" spans="1:9" s="325" customFormat="1" ht="15.75" customHeight="1" x14ac:dyDescent="0.25">
      <c r="A257" s="821"/>
      <c r="B257" s="833"/>
      <c r="C257" s="821"/>
      <c r="D257" s="273"/>
      <c r="E257" s="306" t="s">
        <v>249</v>
      </c>
      <c r="F257" s="307">
        <f>Zambales!E133</f>
        <v>9164</v>
      </c>
      <c r="G257" s="318">
        <f>Zambales!F133</f>
        <v>2320700</v>
      </c>
      <c r="H257" s="307"/>
      <c r="I257" s="318"/>
    </row>
    <row r="258" spans="1:9" s="340" customFormat="1" ht="15.75" customHeight="1" x14ac:dyDescent="0.25">
      <c r="B258" s="50"/>
      <c r="D258" s="337"/>
      <c r="E258" s="336"/>
      <c r="F258" s="338"/>
      <c r="G258" s="339"/>
      <c r="H258" s="338"/>
      <c r="I258" s="339"/>
    </row>
    <row r="259" spans="1:9" s="340" customFormat="1" ht="15.75" customHeight="1" x14ac:dyDescent="0.25">
      <c r="B259" s="50"/>
      <c r="D259" s="337"/>
      <c r="E259" s="336"/>
      <c r="F259" s="338"/>
      <c r="G259" s="339"/>
      <c r="H259" s="338"/>
      <c r="I259" s="339"/>
    </row>
    <row r="260" spans="1:9" s="340" customFormat="1" ht="15.75" customHeight="1" x14ac:dyDescent="0.25">
      <c r="B260" s="50"/>
      <c r="D260" s="337"/>
      <c r="E260" s="336"/>
      <c r="F260" s="338"/>
      <c r="G260" s="339"/>
      <c r="H260" s="338"/>
      <c r="I260" s="339"/>
    </row>
    <row r="261" spans="1:9" s="340" customFormat="1" ht="15.75" customHeight="1" x14ac:dyDescent="0.25">
      <c r="B261" s="50"/>
      <c r="D261" s="337"/>
      <c r="E261" s="336"/>
      <c r="F261" s="338"/>
      <c r="G261" s="339"/>
      <c r="H261" s="338"/>
      <c r="I261" s="339"/>
    </row>
    <row r="262" spans="1:9" s="322" customFormat="1" ht="20.25" customHeight="1" x14ac:dyDescent="0.25">
      <c r="A262" s="825" t="s">
        <v>63</v>
      </c>
      <c r="B262" s="828" t="s">
        <v>64</v>
      </c>
      <c r="C262" s="819" t="s">
        <v>65</v>
      </c>
      <c r="D262" s="268"/>
      <c r="E262" s="120" t="s">
        <v>81</v>
      </c>
      <c r="F262" s="330">
        <f>F263+F265+F268+F274+F279+F284+F288</f>
        <v>2386</v>
      </c>
      <c r="G262" s="274">
        <f>G263+G265+G268+G274+G279+G284+G288</f>
        <v>16910000</v>
      </c>
      <c r="H262" s="330">
        <f>H263+H265+H268+H274+H279+H284+H288</f>
        <v>0</v>
      </c>
      <c r="I262" s="330">
        <f>I263+I265+I268+I274+I279+I284+I288</f>
        <v>0</v>
      </c>
    </row>
    <row r="263" spans="1:9" s="312" customFormat="1" ht="18.75" customHeight="1" x14ac:dyDescent="0.25">
      <c r="A263" s="826"/>
      <c r="B263" s="829"/>
      <c r="C263" s="820"/>
      <c r="D263" s="299" t="s">
        <v>294</v>
      </c>
      <c r="E263" s="298"/>
      <c r="F263" s="298">
        <f>F264</f>
        <v>2382</v>
      </c>
      <c r="G263" s="326">
        <f>G264</f>
        <v>16870000</v>
      </c>
      <c r="H263" s="298">
        <f>H264</f>
        <v>0</v>
      </c>
      <c r="I263" s="326">
        <f>I264</f>
        <v>0</v>
      </c>
    </row>
    <row r="264" spans="1:9" s="322" customFormat="1" ht="21" customHeight="1" x14ac:dyDescent="0.25">
      <c r="A264" s="826"/>
      <c r="B264" s="829"/>
      <c r="C264" s="820"/>
      <c r="D264" s="273"/>
      <c r="E264" s="301" t="s">
        <v>250</v>
      </c>
      <c r="F264" s="323">
        <f>Aurora!E91</f>
        <v>2382</v>
      </c>
      <c r="G264" s="321">
        <f>Aurora!F91</f>
        <v>16870000</v>
      </c>
      <c r="H264" s="323">
        <f>Aurora!G91</f>
        <v>0</v>
      </c>
      <c r="I264" s="323">
        <f>Aurora!H91</f>
        <v>0</v>
      </c>
    </row>
    <row r="265" spans="1:9" s="316" customFormat="1" ht="14.25" customHeight="1" x14ac:dyDescent="0.25">
      <c r="A265" s="826"/>
      <c r="B265" s="829"/>
      <c r="C265" s="820"/>
      <c r="D265" s="300" t="s">
        <v>295</v>
      </c>
      <c r="E265" s="300"/>
      <c r="F265" s="317">
        <f>F266+F267</f>
        <v>4</v>
      </c>
      <c r="G265" s="327">
        <f>G266+G267</f>
        <v>40000</v>
      </c>
      <c r="H265" s="317">
        <f>H266+H267</f>
        <v>0</v>
      </c>
      <c r="I265" s="327">
        <f>I266+I267</f>
        <v>0</v>
      </c>
    </row>
    <row r="266" spans="1:9" s="324" customFormat="1" ht="15" customHeight="1" x14ac:dyDescent="0.25">
      <c r="A266" s="826"/>
      <c r="B266" s="829"/>
      <c r="C266" s="820"/>
      <c r="D266" s="273"/>
      <c r="E266" s="306" t="s">
        <v>248</v>
      </c>
      <c r="F266" s="320">
        <f>Bataan!E126</f>
        <v>4</v>
      </c>
      <c r="G266" s="318">
        <f>Bataan!F126</f>
        <v>40000</v>
      </c>
      <c r="H266" s="320">
        <f>Bataan!G126</f>
        <v>0</v>
      </c>
      <c r="I266" s="320">
        <f>Bataan!H126</f>
        <v>0</v>
      </c>
    </row>
    <row r="267" spans="1:9" s="325" customFormat="1" x14ac:dyDescent="0.25">
      <c r="A267" s="826"/>
      <c r="B267" s="829"/>
      <c r="C267" s="820"/>
      <c r="D267" s="273"/>
      <c r="E267" s="306" t="s">
        <v>249</v>
      </c>
      <c r="F267" s="320">
        <f>Bataan!E133</f>
        <v>0</v>
      </c>
      <c r="G267" s="318">
        <f>Bataan!F133</f>
        <v>0</v>
      </c>
      <c r="H267" s="320">
        <f>Bataan!G133</f>
        <v>0</v>
      </c>
      <c r="I267" s="320">
        <f>Bataan!H133</f>
        <v>0</v>
      </c>
    </row>
    <row r="268" spans="1:9" s="316" customFormat="1" ht="14.25" customHeight="1" x14ac:dyDescent="0.25">
      <c r="A268" s="826"/>
      <c r="B268" s="829"/>
      <c r="C268" s="820"/>
      <c r="D268" s="300" t="s">
        <v>296</v>
      </c>
      <c r="E268" s="300"/>
      <c r="F268" s="317">
        <f>F269+F270+F271+F272+F273</f>
        <v>0</v>
      </c>
      <c r="G268" s="327">
        <f>G269+G270+G271+G272+G273</f>
        <v>0</v>
      </c>
      <c r="H268" s="317">
        <f>H269+H270+H271+H272+H273</f>
        <v>0</v>
      </c>
      <c r="I268" s="327">
        <f>I269+I270+I271+I272+I273</f>
        <v>0</v>
      </c>
    </row>
    <row r="269" spans="1:9" s="325" customFormat="1" x14ac:dyDescent="0.25">
      <c r="A269" s="826"/>
      <c r="B269" s="829"/>
      <c r="C269" s="820"/>
      <c r="D269" s="273"/>
      <c r="E269" s="306" t="s">
        <v>248</v>
      </c>
      <c r="F269" s="307"/>
      <c r="G269" s="318"/>
      <c r="H269" s="307"/>
      <c r="I269" s="318"/>
    </row>
    <row r="270" spans="1:9" s="325" customFormat="1" x14ac:dyDescent="0.25">
      <c r="A270" s="826"/>
      <c r="B270" s="829"/>
      <c r="C270" s="820"/>
      <c r="D270" s="273"/>
      <c r="E270" s="306" t="s">
        <v>249</v>
      </c>
      <c r="F270" s="307"/>
      <c r="G270" s="318"/>
      <c r="H270" s="307"/>
      <c r="I270" s="318"/>
    </row>
    <row r="271" spans="1:9" s="325" customFormat="1" x14ac:dyDescent="0.25">
      <c r="A271" s="826"/>
      <c r="B271" s="829"/>
      <c r="C271" s="820"/>
      <c r="D271" s="273"/>
      <c r="E271" s="306" t="s">
        <v>288</v>
      </c>
      <c r="F271" s="307"/>
      <c r="G271" s="318"/>
      <c r="H271" s="307"/>
      <c r="I271" s="318"/>
    </row>
    <row r="272" spans="1:9" s="325" customFormat="1" x14ac:dyDescent="0.25">
      <c r="A272" s="826"/>
      <c r="B272" s="829"/>
      <c r="C272" s="820"/>
      <c r="D272" s="273"/>
      <c r="E272" s="306" t="s">
        <v>289</v>
      </c>
      <c r="F272" s="307"/>
      <c r="G272" s="318"/>
      <c r="H272" s="307"/>
      <c r="I272" s="318"/>
    </row>
    <row r="273" spans="1:9" s="325" customFormat="1" x14ac:dyDescent="0.25">
      <c r="A273" s="826"/>
      <c r="B273" s="829"/>
      <c r="C273" s="820"/>
      <c r="D273" s="273"/>
      <c r="E273" s="306" t="s">
        <v>290</v>
      </c>
      <c r="F273" s="307"/>
      <c r="G273" s="318"/>
      <c r="H273" s="307"/>
      <c r="I273" s="318"/>
    </row>
    <row r="274" spans="1:9" s="316" customFormat="1" ht="14.25" customHeight="1" x14ac:dyDescent="0.25">
      <c r="A274" s="826"/>
      <c r="B274" s="829"/>
      <c r="C274" s="820"/>
      <c r="D274" s="300" t="s">
        <v>297</v>
      </c>
      <c r="E274" s="300"/>
      <c r="F274" s="319">
        <f>F275+F276+F277+F278</f>
        <v>0</v>
      </c>
      <c r="G274" s="327">
        <f>G275+G276+G277+G278</f>
        <v>0</v>
      </c>
      <c r="H274" s="319">
        <f>H275+H276+H277+H278</f>
        <v>0</v>
      </c>
      <c r="I274" s="327">
        <f>I275+I276+I277+I278</f>
        <v>0</v>
      </c>
    </row>
    <row r="275" spans="1:9" s="325" customFormat="1" x14ac:dyDescent="0.25">
      <c r="A275" s="826"/>
      <c r="B275" s="829"/>
      <c r="C275" s="820"/>
      <c r="D275" s="273"/>
      <c r="E275" s="306" t="s">
        <v>248</v>
      </c>
      <c r="F275" s="320"/>
      <c r="G275" s="318"/>
      <c r="H275" s="320"/>
      <c r="I275" s="318"/>
    </row>
    <row r="276" spans="1:9" s="325" customFormat="1" x14ac:dyDescent="0.25">
      <c r="A276" s="826"/>
      <c r="B276" s="829"/>
      <c r="C276" s="820"/>
      <c r="D276" s="273"/>
      <c r="E276" s="306" t="s">
        <v>249</v>
      </c>
      <c r="F276" s="307"/>
      <c r="G276" s="318"/>
      <c r="H276" s="307"/>
      <c r="I276" s="318"/>
    </row>
    <row r="277" spans="1:9" s="325" customFormat="1" x14ac:dyDescent="0.25">
      <c r="A277" s="826"/>
      <c r="B277" s="829"/>
      <c r="C277" s="820"/>
      <c r="D277" s="273"/>
      <c r="E277" s="306" t="s">
        <v>288</v>
      </c>
      <c r="F277" s="307"/>
      <c r="G277" s="318"/>
      <c r="H277" s="307"/>
      <c r="I277" s="318"/>
    </row>
    <row r="278" spans="1:9" s="325" customFormat="1" x14ac:dyDescent="0.25">
      <c r="A278" s="826"/>
      <c r="B278" s="829"/>
      <c r="C278" s="820"/>
      <c r="D278" s="273"/>
      <c r="E278" s="306" t="s">
        <v>289</v>
      </c>
      <c r="F278" s="307"/>
      <c r="G278" s="318"/>
      <c r="H278" s="307"/>
      <c r="I278" s="318"/>
    </row>
    <row r="279" spans="1:9" s="316" customFormat="1" ht="14.25" customHeight="1" x14ac:dyDescent="0.25">
      <c r="A279" s="826"/>
      <c r="B279" s="829"/>
      <c r="C279" s="820"/>
      <c r="D279" s="300" t="s">
        <v>298</v>
      </c>
      <c r="E279" s="300"/>
      <c r="F279" s="319">
        <f>F280+F281+F282+F283</f>
        <v>0</v>
      </c>
      <c r="G279" s="327">
        <f>G280+G281+G282+G283</f>
        <v>0</v>
      </c>
      <c r="H279" s="319">
        <f>H280+H281+H282+H283</f>
        <v>0</v>
      </c>
      <c r="I279" s="327">
        <f>I280+I281+I282+I283</f>
        <v>0</v>
      </c>
    </row>
    <row r="280" spans="1:9" s="325" customFormat="1" x14ac:dyDescent="0.25">
      <c r="A280" s="826"/>
      <c r="B280" s="829"/>
      <c r="C280" s="820"/>
      <c r="D280" s="273"/>
      <c r="E280" s="306" t="s">
        <v>248</v>
      </c>
      <c r="F280" s="307"/>
      <c r="G280" s="318"/>
      <c r="H280" s="307"/>
      <c r="I280" s="307"/>
    </row>
    <row r="281" spans="1:9" s="325" customFormat="1" x14ac:dyDescent="0.25">
      <c r="A281" s="826"/>
      <c r="B281" s="829"/>
      <c r="C281" s="820"/>
      <c r="D281" s="273"/>
      <c r="E281" s="306" t="s">
        <v>249</v>
      </c>
      <c r="F281" s="307"/>
      <c r="G281" s="318"/>
      <c r="H281" s="307"/>
      <c r="I281" s="307"/>
    </row>
    <row r="282" spans="1:9" s="325" customFormat="1" x14ac:dyDescent="0.25">
      <c r="A282" s="826"/>
      <c r="B282" s="829"/>
      <c r="C282" s="820"/>
      <c r="D282" s="273"/>
      <c r="E282" s="306" t="s">
        <v>288</v>
      </c>
      <c r="F282" s="307"/>
      <c r="G282" s="318"/>
      <c r="H282" s="307"/>
      <c r="I282" s="307"/>
    </row>
    <row r="283" spans="1:9" s="325" customFormat="1" x14ac:dyDescent="0.25">
      <c r="A283" s="826"/>
      <c r="B283" s="829"/>
      <c r="C283" s="820"/>
      <c r="D283" s="273"/>
      <c r="E283" s="306" t="s">
        <v>289</v>
      </c>
      <c r="F283" s="307"/>
      <c r="G283" s="318"/>
      <c r="H283" s="307"/>
      <c r="I283" s="307"/>
    </row>
    <row r="284" spans="1:9" s="316" customFormat="1" ht="14.25" customHeight="1" x14ac:dyDescent="0.25">
      <c r="A284" s="826"/>
      <c r="B284" s="829"/>
      <c r="C284" s="820"/>
      <c r="D284" s="300" t="s">
        <v>299</v>
      </c>
      <c r="E284" s="300"/>
      <c r="F284" s="319">
        <f>F285+F286+F287</f>
        <v>0</v>
      </c>
      <c r="G284" s="327">
        <f>G285+G286+G287</f>
        <v>0</v>
      </c>
      <c r="H284" s="319">
        <f>H285+H286+H287</f>
        <v>0</v>
      </c>
      <c r="I284" s="327">
        <f>I285+I286+I287</f>
        <v>0</v>
      </c>
    </row>
    <row r="285" spans="1:9" s="325" customFormat="1" x14ac:dyDescent="0.25">
      <c r="A285" s="826"/>
      <c r="B285" s="829"/>
      <c r="C285" s="820"/>
      <c r="D285" s="273"/>
      <c r="E285" s="306" t="s">
        <v>248</v>
      </c>
      <c r="F285" s="307"/>
      <c r="G285" s="318"/>
      <c r="H285" s="307"/>
      <c r="I285" s="318"/>
    </row>
    <row r="286" spans="1:9" s="325" customFormat="1" x14ac:dyDescent="0.25">
      <c r="A286" s="826"/>
      <c r="B286" s="829"/>
      <c r="C286" s="820"/>
      <c r="D286" s="273"/>
      <c r="E286" s="306" t="s">
        <v>249</v>
      </c>
      <c r="F286" s="307"/>
      <c r="G286" s="318"/>
      <c r="H286" s="307"/>
      <c r="I286" s="318"/>
    </row>
    <row r="287" spans="1:9" s="325" customFormat="1" x14ac:dyDescent="0.25">
      <c r="A287" s="826"/>
      <c r="B287" s="829"/>
      <c r="C287" s="820"/>
      <c r="D287" s="273"/>
      <c r="E287" s="306" t="s">
        <v>288</v>
      </c>
      <c r="F287" s="307"/>
      <c r="G287" s="318"/>
      <c r="H287" s="307"/>
      <c r="I287" s="318"/>
    </row>
    <row r="288" spans="1:9" s="316" customFormat="1" ht="14.25" customHeight="1" x14ac:dyDescent="0.25">
      <c r="A288" s="826"/>
      <c r="B288" s="829"/>
      <c r="C288" s="820"/>
      <c r="D288" s="300" t="s">
        <v>300</v>
      </c>
      <c r="E288" s="300"/>
      <c r="F288" s="319">
        <f>F289+F290</f>
        <v>0</v>
      </c>
      <c r="G288" s="327">
        <f>G289+G290</f>
        <v>0</v>
      </c>
      <c r="H288" s="319">
        <f>H289+H290</f>
        <v>0</v>
      </c>
      <c r="I288" s="327">
        <f>I289+I290</f>
        <v>0</v>
      </c>
    </row>
    <row r="289" spans="1:9" s="325" customFormat="1" x14ac:dyDescent="0.25">
      <c r="A289" s="826"/>
      <c r="B289" s="829"/>
      <c r="C289" s="820"/>
      <c r="D289" s="273"/>
      <c r="E289" s="306" t="s">
        <v>248</v>
      </c>
      <c r="F289" s="307"/>
      <c r="G289" s="318"/>
      <c r="H289" s="307"/>
      <c r="I289" s="318"/>
    </row>
    <row r="290" spans="1:9" s="325" customFormat="1" x14ac:dyDescent="0.25">
      <c r="A290" s="827"/>
      <c r="B290" s="830"/>
      <c r="C290" s="821"/>
      <c r="D290" s="273"/>
      <c r="E290" s="306" t="s">
        <v>249</v>
      </c>
      <c r="F290" s="307"/>
      <c r="G290" s="318"/>
      <c r="H290" s="307"/>
      <c r="I290" s="318"/>
    </row>
    <row r="291" spans="1:9" s="340" customFormat="1" x14ac:dyDescent="0.25">
      <c r="B291" s="50"/>
      <c r="D291" s="337"/>
      <c r="E291" s="336"/>
      <c r="F291" s="338"/>
      <c r="G291" s="339"/>
      <c r="H291" s="338"/>
      <c r="I291" s="339"/>
    </row>
    <row r="292" spans="1:9" s="340" customFormat="1" x14ac:dyDescent="0.25">
      <c r="B292" s="50"/>
      <c r="D292" s="337"/>
      <c r="E292" s="336"/>
      <c r="F292" s="338"/>
      <c r="G292" s="339"/>
      <c r="H292" s="338"/>
      <c r="I292" s="339"/>
    </row>
    <row r="293" spans="1:9" s="340" customFormat="1" x14ac:dyDescent="0.25">
      <c r="B293" s="50"/>
      <c r="D293" s="337"/>
      <c r="E293" s="336"/>
      <c r="F293" s="338"/>
      <c r="G293" s="339"/>
      <c r="H293" s="338"/>
      <c r="I293" s="339"/>
    </row>
    <row r="294" spans="1:9" s="340" customFormat="1" x14ac:dyDescent="0.25">
      <c r="B294" s="50"/>
      <c r="D294" s="337"/>
      <c r="E294" s="336"/>
      <c r="F294" s="338"/>
      <c r="G294" s="339"/>
      <c r="H294" s="338"/>
      <c r="I294" s="339"/>
    </row>
    <row r="295" spans="1:9" s="340" customFormat="1" x14ac:dyDescent="0.25">
      <c r="B295" s="50"/>
      <c r="D295" s="337"/>
      <c r="E295" s="336"/>
      <c r="F295" s="338"/>
      <c r="G295" s="339"/>
      <c r="H295" s="338"/>
      <c r="I295" s="339"/>
    </row>
    <row r="296" spans="1:9" s="322" customFormat="1" ht="18" customHeight="1" x14ac:dyDescent="0.25">
      <c r="A296" s="825" t="s">
        <v>67</v>
      </c>
      <c r="B296" s="828" t="s">
        <v>68</v>
      </c>
      <c r="C296" s="819" t="s">
        <v>65</v>
      </c>
      <c r="D296" s="268"/>
      <c r="E296" s="120" t="s">
        <v>81</v>
      </c>
      <c r="F296" s="330">
        <f>F297+F299+F302+F308+F313+F318+F322</f>
        <v>34790</v>
      </c>
      <c r="G296" s="274">
        <f>G297+G299+G302+G308+G313+G318+G322</f>
        <v>18002411.079999998</v>
      </c>
      <c r="H296" s="330">
        <f>H297+H299+H302+H308+H313+H318+H322</f>
        <v>0</v>
      </c>
      <c r="I296" s="330">
        <f>I297+I299+I302+I308+I313+I318+I322</f>
        <v>0</v>
      </c>
    </row>
    <row r="297" spans="1:9" s="312" customFormat="1" ht="18.75" customHeight="1" x14ac:dyDescent="0.25">
      <c r="A297" s="826"/>
      <c r="B297" s="829"/>
      <c r="C297" s="820"/>
      <c r="D297" s="299" t="s">
        <v>294</v>
      </c>
      <c r="E297" s="298"/>
      <c r="F297" s="298">
        <f>F298</f>
        <v>1687</v>
      </c>
      <c r="G297" s="326">
        <f>G298</f>
        <v>4251240</v>
      </c>
      <c r="H297" s="298">
        <f>H298</f>
        <v>0</v>
      </c>
      <c r="I297" s="326">
        <f>I298</f>
        <v>0</v>
      </c>
    </row>
    <row r="298" spans="1:9" s="322" customFormat="1" ht="22.5" customHeight="1" x14ac:dyDescent="0.25">
      <c r="A298" s="826"/>
      <c r="B298" s="829"/>
      <c r="C298" s="820"/>
      <c r="D298" s="273"/>
      <c r="E298" s="301" t="s">
        <v>250</v>
      </c>
      <c r="F298" s="323">
        <f>Aurora!E101</f>
        <v>1687</v>
      </c>
      <c r="G298" s="321">
        <f>Aurora!F101</f>
        <v>4251240</v>
      </c>
      <c r="H298" s="323"/>
      <c r="I298" s="321"/>
    </row>
    <row r="299" spans="1:9" s="316" customFormat="1" ht="14.25" customHeight="1" x14ac:dyDescent="0.25">
      <c r="A299" s="826"/>
      <c r="B299" s="829"/>
      <c r="C299" s="820"/>
      <c r="D299" s="300" t="s">
        <v>295</v>
      </c>
      <c r="E299" s="300"/>
      <c r="F299" s="317">
        <f>F300+F301</f>
        <v>377</v>
      </c>
      <c r="G299" s="327">
        <f>G300+G301</f>
        <v>600460</v>
      </c>
      <c r="H299" s="317">
        <f>H300+H301</f>
        <v>0</v>
      </c>
      <c r="I299" s="327">
        <f>I300+I301</f>
        <v>0</v>
      </c>
    </row>
    <row r="300" spans="1:9" s="324" customFormat="1" ht="15" customHeight="1" x14ac:dyDescent="0.25">
      <c r="A300" s="826"/>
      <c r="B300" s="829"/>
      <c r="C300" s="820"/>
      <c r="D300" s="273" t="s">
        <v>247</v>
      </c>
      <c r="E300" s="306" t="s">
        <v>248</v>
      </c>
      <c r="F300" s="320">
        <f>Bataan!E142</f>
        <v>377</v>
      </c>
      <c r="G300" s="318">
        <f>Bataan!F142</f>
        <v>600460</v>
      </c>
      <c r="H300" s="320"/>
      <c r="I300" s="318"/>
    </row>
    <row r="301" spans="1:9" s="325" customFormat="1" x14ac:dyDescent="0.25">
      <c r="A301" s="826"/>
      <c r="B301" s="829"/>
      <c r="C301" s="820"/>
      <c r="D301" s="273"/>
      <c r="E301" s="306" t="s">
        <v>249</v>
      </c>
      <c r="F301" s="320">
        <f>Bataan!E149</f>
        <v>0</v>
      </c>
      <c r="G301" s="318">
        <f>Bataan!F149</f>
        <v>0</v>
      </c>
      <c r="H301" s="320"/>
      <c r="I301" s="318"/>
    </row>
    <row r="302" spans="1:9" s="316" customFormat="1" ht="14.25" customHeight="1" x14ac:dyDescent="0.25">
      <c r="A302" s="826"/>
      <c r="B302" s="829"/>
      <c r="C302" s="820"/>
      <c r="D302" s="300" t="s">
        <v>296</v>
      </c>
      <c r="E302" s="300"/>
      <c r="F302" s="317">
        <f>F303+F304+F305+F306+F307</f>
        <v>8434</v>
      </c>
      <c r="G302" s="327">
        <f>G303+G304+G305+G306+G307</f>
        <v>2420055</v>
      </c>
      <c r="H302" s="317">
        <f>H303+H304+H305+H306+H307</f>
        <v>0</v>
      </c>
      <c r="I302" s="327">
        <f>I303+I304+I305+I306+I307</f>
        <v>0</v>
      </c>
    </row>
    <row r="303" spans="1:9" s="325" customFormat="1" x14ac:dyDescent="0.25">
      <c r="A303" s="826"/>
      <c r="B303" s="829"/>
      <c r="C303" s="820"/>
      <c r="D303" s="273"/>
      <c r="E303" s="306" t="s">
        <v>248</v>
      </c>
      <c r="F303" s="320">
        <f>Bulacan!E268</f>
        <v>2244</v>
      </c>
      <c r="G303" s="318">
        <f>Bulacan!F268</f>
        <v>894985</v>
      </c>
      <c r="H303" s="320"/>
      <c r="I303" s="318"/>
    </row>
    <row r="304" spans="1:9" s="325" customFormat="1" x14ac:dyDescent="0.25">
      <c r="A304" s="826"/>
      <c r="B304" s="829"/>
      <c r="C304" s="820"/>
      <c r="D304" s="273"/>
      <c r="E304" s="306" t="s">
        <v>249</v>
      </c>
      <c r="F304" s="307">
        <f>Bulacan!E275</f>
        <v>1913</v>
      </c>
      <c r="G304" s="318">
        <f>Bulacan!F275</f>
        <v>459012.5</v>
      </c>
      <c r="H304" s="307"/>
      <c r="I304" s="318"/>
    </row>
    <row r="305" spans="1:9" s="325" customFormat="1" x14ac:dyDescent="0.25">
      <c r="A305" s="826"/>
      <c r="B305" s="829"/>
      <c r="C305" s="820"/>
      <c r="D305" s="273"/>
      <c r="E305" s="306" t="s">
        <v>288</v>
      </c>
      <c r="F305" s="307">
        <f>Bulacan!E283</f>
        <v>2500</v>
      </c>
      <c r="G305" s="318">
        <f>Bulacan!F283</f>
        <v>625000</v>
      </c>
      <c r="H305" s="307"/>
      <c r="I305" s="318"/>
    </row>
    <row r="306" spans="1:9" s="325" customFormat="1" x14ac:dyDescent="0.25">
      <c r="A306" s="826"/>
      <c r="B306" s="829"/>
      <c r="C306" s="820"/>
      <c r="D306" s="273"/>
      <c r="E306" s="306" t="s">
        <v>289</v>
      </c>
      <c r="F306" s="307">
        <f>Bulacan!E290</f>
        <v>1527</v>
      </c>
      <c r="G306" s="318">
        <f>Bulacan!F290</f>
        <v>379182.5</v>
      </c>
      <c r="H306" s="307"/>
      <c r="I306" s="318"/>
    </row>
    <row r="307" spans="1:9" s="325" customFormat="1" x14ac:dyDescent="0.25">
      <c r="A307" s="826"/>
      <c r="B307" s="829"/>
      <c r="C307" s="820"/>
      <c r="D307" s="273"/>
      <c r="E307" s="306" t="s">
        <v>290</v>
      </c>
      <c r="F307" s="307">
        <f>Bulacan!E295</f>
        <v>250</v>
      </c>
      <c r="G307" s="318">
        <f>Bulacan!F295</f>
        <v>61875</v>
      </c>
      <c r="H307" s="307"/>
      <c r="I307" s="318"/>
    </row>
    <row r="308" spans="1:9" s="316" customFormat="1" ht="14.25" customHeight="1" x14ac:dyDescent="0.25">
      <c r="A308" s="826"/>
      <c r="B308" s="829"/>
      <c r="C308" s="820"/>
      <c r="D308" s="300" t="s">
        <v>297</v>
      </c>
      <c r="E308" s="300"/>
      <c r="F308" s="319">
        <f>F309+F310+F311+F312</f>
        <v>13857</v>
      </c>
      <c r="G308" s="327">
        <f>G309+G310+G311+G312</f>
        <v>3720161.5600000005</v>
      </c>
      <c r="H308" s="319">
        <f>H309+H310+H311+H312</f>
        <v>0</v>
      </c>
      <c r="I308" s="327">
        <f>I309+I310+I311+I312</f>
        <v>0</v>
      </c>
    </row>
    <row r="309" spans="1:9" s="325" customFormat="1" x14ac:dyDescent="0.25">
      <c r="A309" s="826"/>
      <c r="B309" s="829"/>
      <c r="C309" s="820"/>
      <c r="D309" s="273"/>
      <c r="E309" s="306" t="s">
        <v>248</v>
      </c>
      <c r="F309" s="320">
        <f>'Nueva Ecija'!E328</f>
        <v>3762</v>
      </c>
      <c r="G309" s="318">
        <f>'Nueva Ecija'!F328</f>
        <v>993101.82000000007</v>
      </c>
      <c r="H309" s="320"/>
      <c r="I309" s="318"/>
    </row>
    <row r="310" spans="1:9" s="325" customFormat="1" x14ac:dyDescent="0.25">
      <c r="A310" s="826"/>
      <c r="B310" s="829"/>
      <c r="C310" s="820"/>
      <c r="D310" s="273"/>
      <c r="E310" s="306" t="s">
        <v>249</v>
      </c>
      <c r="F310" s="307">
        <f>'Nueva Ecija'!E338</f>
        <v>850</v>
      </c>
      <c r="G310" s="318">
        <f>'Nueva Ecija'!F338</f>
        <v>212500</v>
      </c>
      <c r="H310" s="307"/>
      <c r="I310" s="318"/>
    </row>
    <row r="311" spans="1:9" s="325" customFormat="1" x14ac:dyDescent="0.25">
      <c r="A311" s="826"/>
      <c r="B311" s="829"/>
      <c r="C311" s="820"/>
      <c r="D311" s="273"/>
      <c r="E311" s="306" t="s">
        <v>288</v>
      </c>
      <c r="F311" s="307">
        <f>'Nueva Ecija'!E347</f>
        <v>4840</v>
      </c>
      <c r="G311" s="318">
        <f>'Nueva Ecija'!F347</f>
        <v>1374739.5</v>
      </c>
      <c r="H311" s="307"/>
      <c r="I311" s="318"/>
    </row>
    <row r="312" spans="1:9" s="325" customFormat="1" x14ac:dyDescent="0.25">
      <c r="A312" s="826"/>
      <c r="B312" s="829"/>
      <c r="C312" s="820"/>
      <c r="D312" s="273"/>
      <c r="E312" s="306" t="s">
        <v>289</v>
      </c>
      <c r="F312" s="307">
        <f>'Nueva Ecija'!E355</f>
        <v>4405</v>
      </c>
      <c r="G312" s="318">
        <f>'Nueva Ecija'!F355</f>
        <v>1139820.24</v>
      </c>
      <c r="H312" s="307"/>
      <c r="I312" s="318"/>
    </row>
    <row r="313" spans="1:9" s="316" customFormat="1" ht="14.25" customHeight="1" x14ac:dyDescent="0.25">
      <c r="A313" s="826"/>
      <c r="B313" s="829"/>
      <c r="C313" s="820"/>
      <c r="D313" s="300" t="s">
        <v>298</v>
      </c>
      <c r="E313" s="300"/>
      <c r="F313" s="319">
        <f>F314+F315+F316+F317</f>
        <v>5182</v>
      </c>
      <c r="G313" s="327">
        <f>G314+G315+G316+G317</f>
        <v>1850421</v>
      </c>
      <c r="H313" s="319">
        <f>H314+H315+H316+H317</f>
        <v>0</v>
      </c>
      <c r="I313" s="327">
        <f>I314+I315+I316+I317</f>
        <v>0</v>
      </c>
    </row>
    <row r="314" spans="1:9" s="325" customFormat="1" x14ac:dyDescent="0.25">
      <c r="A314" s="826"/>
      <c r="B314" s="829"/>
      <c r="C314" s="820"/>
      <c r="D314" s="273"/>
      <c r="E314" s="306" t="s">
        <v>248</v>
      </c>
      <c r="F314" s="307">
        <f>Pampanga!E267</f>
        <v>500</v>
      </c>
      <c r="G314" s="318">
        <f>Pampanga!F267</f>
        <v>125000</v>
      </c>
      <c r="H314" s="307"/>
      <c r="I314" s="318"/>
    </row>
    <row r="315" spans="1:9" s="325" customFormat="1" x14ac:dyDescent="0.25">
      <c r="A315" s="826"/>
      <c r="B315" s="829"/>
      <c r="C315" s="820"/>
      <c r="D315" s="273"/>
      <c r="E315" s="306" t="s">
        <v>249</v>
      </c>
      <c r="F315" s="307">
        <f>Pampanga!E271</f>
        <v>450</v>
      </c>
      <c r="G315" s="318">
        <f>Pampanga!F271</f>
        <v>111375.5</v>
      </c>
      <c r="H315" s="307"/>
      <c r="I315" s="318"/>
    </row>
    <row r="316" spans="1:9" s="325" customFormat="1" x14ac:dyDescent="0.25">
      <c r="A316" s="826"/>
      <c r="B316" s="829"/>
      <c r="C316" s="820"/>
      <c r="D316" s="273"/>
      <c r="E316" s="306" t="s">
        <v>288</v>
      </c>
      <c r="F316" s="307">
        <f>Pampanga!E278</f>
        <v>2232</v>
      </c>
      <c r="G316" s="318">
        <f>Pampanga!F278</f>
        <v>554545.5</v>
      </c>
      <c r="H316" s="307"/>
      <c r="I316" s="318"/>
    </row>
    <row r="317" spans="1:9" s="325" customFormat="1" x14ac:dyDescent="0.25">
      <c r="A317" s="826"/>
      <c r="B317" s="829"/>
      <c r="C317" s="820"/>
      <c r="D317" s="273"/>
      <c r="E317" s="306" t="s">
        <v>289</v>
      </c>
      <c r="F317" s="307">
        <f>Pampanga!E284</f>
        <v>2000</v>
      </c>
      <c r="G317" s="318">
        <f>Pampanga!F284</f>
        <v>1059500</v>
      </c>
      <c r="H317" s="307"/>
      <c r="I317" s="318"/>
    </row>
    <row r="318" spans="1:9" s="316" customFormat="1" ht="14.25" customHeight="1" x14ac:dyDescent="0.25">
      <c r="A318" s="826"/>
      <c r="B318" s="829"/>
      <c r="C318" s="820"/>
      <c r="D318" s="300" t="s">
        <v>299</v>
      </c>
      <c r="E318" s="300"/>
      <c r="F318" s="319">
        <f>F319+F320+F321</f>
        <v>3803</v>
      </c>
      <c r="G318" s="327">
        <f>G319+G320+G321</f>
        <v>3794073.52</v>
      </c>
      <c r="H318" s="319">
        <f>H319+H320+H321</f>
        <v>0</v>
      </c>
      <c r="I318" s="327">
        <f>I319+I320+I321</f>
        <v>0</v>
      </c>
    </row>
    <row r="319" spans="1:9" s="325" customFormat="1" x14ac:dyDescent="0.25">
      <c r="A319" s="826"/>
      <c r="B319" s="829"/>
      <c r="C319" s="820"/>
      <c r="D319" s="273"/>
      <c r="E319" s="306" t="s">
        <v>248</v>
      </c>
      <c r="F319" s="307">
        <f>Tarlac!E207</f>
        <v>2792</v>
      </c>
      <c r="G319" s="318">
        <f>Tarlac!F207</f>
        <v>2564433.52</v>
      </c>
      <c r="H319" s="307"/>
      <c r="I319" s="318"/>
    </row>
    <row r="320" spans="1:9" s="325" customFormat="1" x14ac:dyDescent="0.25">
      <c r="A320" s="826"/>
      <c r="B320" s="829"/>
      <c r="C320" s="820"/>
      <c r="D320" s="273"/>
      <c r="E320" s="306" t="s">
        <v>249</v>
      </c>
      <c r="F320" s="307">
        <f>Tarlac!E218</f>
        <v>400</v>
      </c>
      <c r="G320" s="318">
        <f>Tarlac!F218</f>
        <v>100000</v>
      </c>
      <c r="H320" s="307"/>
      <c r="I320" s="318"/>
    </row>
    <row r="321" spans="1:9" s="325" customFormat="1" x14ac:dyDescent="0.25">
      <c r="A321" s="826"/>
      <c r="B321" s="829"/>
      <c r="C321" s="820"/>
      <c r="D321" s="273"/>
      <c r="E321" s="306" t="s">
        <v>288</v>
      </c>
      <c r="F321" s="307">
        <f>Tarlac!E223</f>
        <v>611</v>
      </c>
      <c r="G321" s="318">
        <f>Tarlac!F223</f>
        <v>1129640</v>
      </c>
      <c r="H321" s="307"/>
      <c r="I321" s="318"/>
    </row>
    <row r="322" spans="1:9" s="316" customFormat="1" ht="14.25" customHeight="1" x14ac:dyDescent="0.25">
      <c r="A322" s="826"/>
      <c r="B322" s="829"/>
      <c r="C322" s="820"/>
      <c r="D322" s="300" t="s">
        <v>300</v>
      </c>
      <c r="E322" s="300"/>
      <c r="F322" s="319">
        <f>F323+F324</f>
        <v>1450</v>
      </c>
      <c r="G322" s="327">
        <f>G323+G324</f>
        <v>1366000</v>
      </c>
      <c r="H322" s="319">
        <f>H323+H324</f>
        <v>0</v>
      </c>
      <c r="I322" s="327">
        <f>I323+I324</f>
        <v>0</v>
      </c>
    </row>
    <row r="323" spans="1:9" s="325" customFormat="1" x14ac:dyDescent="0.25">
      <c r="A323" s="826"/>
      <c r="B323" s="829"/>
      <c r="C323" s="820"/>
      <c r="D323" s="273"/>
      <c r="E323" s="306" t="s">
        <v>248</v>
      </c>
      <c r="F323" s="307">
        <f>Zambales!E165</f>
        <v>0</v>
      </c>
      <c r="G323" s="318">
        <f>Zambales!F165</f>
        <v>0</v>
      </c>
      <c r="H323" s="307"/>
      <c r="I323" s="318"/>
    </row>
    <row r="324" spans="1:9" s="325" customFormat="1" x14ac:dyDescent="0.25">
      <c r="A324" s="827"/>
      <c r="B324" s="830"/>
      <c r="C324" s="821"/>
      <c r="D324" s="273"/>
      <c r="E324" s="306" t="s">
        <v>249</v>
      </c>
      <c r="F324" s="307">
        <f>Zambales!E170</f>
        <v>1450</v>
      </c>
      <c r="G324" s="318">
        <f>Zambales!F170</f>
        <v>1366000</v>
      </c>
      <c r="H324" s="307"/>
      <c r="I324" s="318"/>
    </row>
    <row r="325" spans="1:9" s="340" customFormat="1" x14ac:dyDescent="0.25">
      <c r="B325" s="50"/>
      <c r="D325" s="337"/>
      <c r="E325" s="336"/>
      <c r="F325" s="338"/>
      <c r="G325" s="339"/>
      <c r="H325" s="338"/>
      <c r="I325" s="339"/>
    </row>
    <row r="326" spans="1:9" s="340" customFormat="1" x14ac:dyDescent="0.25">
      <c r="B326" s="50"/>
      <c r="D326" s="337"/>
      <c r="E326" s="336"/>
      <c r="F326" s="338"/>
      <c r="G326" s="339"/>
      <c r="H326" s="338"/>
      <c r="I326" s="339"/>
    </row>
    <row r="327" spans="1:9" s="340" customFormat="1" x14ac:dyDescent="0.25">
      <c r="B327" s="50"/>
      <c r="D327" s="337"/>
      <c r="E327" s="336"/>
      <c r="F327" s="338"/>
      <c r="G327" s="339"/>
      <c r="H327" s="338"/>
      <c r="I327" s="339"/>
    </row>
    <row r="328" spans="1:9" s="340" customFormat="1" x14ac:dyDescent="0.25">
      <c r="B328" s="50"/>
      <c r="D328" s="337"/>
      <c r="E328" s="336"/>
      <c r="F328" s="338"/>
      <c r="G328" s="339"/>
      <c r="H328" s="338"/>
      <c r="I328" s="339"/>
    </row>
    <row r="329" spans="1:9" s="340" customFormat="1" ht="10.5" customHeight="1" x14ac:dyDescent="0.25">
      <c r="B329" s="50"/>
      <c r="D329" s="337"/>
      <c r="E329" s="336"/>
      <c r="F329" s="338"/>
      <c r="G329" s="339"/>
      <c r="H329" s="338"/>
      <c r="I329" s="339"/>
    </row>
    <row r="330" spans="1:9" s="340" customFormat="1" x14ac:dyDescent="0.25">
      <c r="B330" s="50"/>
      <c r="D330" s="337"/>
      <c r="E330" s="336"/>
      <c r="F330" s="338"/>
      <c r="G330" s="339"/>
      <c r="H330" s="338"/>
      <c r="I330" s="339"/>
    </row>
    <row r="331" spans="1:9" s="315" customFormat="1" ht="13.15" customHeight="1" x14ac:dyDescent="0.25">
      <c r="A331" s="819" t="s">
        <v>201</v>
      </c>
      <c r="B331" s="828" t="s">
        <v>202</v>
      </c>
      <c r="C331" s="819" t="s">
        <v>24</v>
      </c>
      <c r="D331" s="268"/>
      <c r="E331" s="120" t="s">
        <v>81</v>
      </c>
      <c r="F331" s="330">
        <f>F332+F334+F337+F343+F348+F353+F357</f>
        <v>632</v>
      </c>
      <c r="G331" s="274">
        <f>G332+G334+G337+G343+G348+G353+G357</f>
        <v>1022339.93</v>
      </c>
      <c r="H331" s="330">
        <f>H332+H334+H337+H343+H348+H353+H357</f>
        <v>0</v>
      </c>
      <c r="I331" s="330">
        <f>I332+I334+I337+I343+I348+I353+I357</f>
        <v>0</v>
      </c>
    </row>
    <row r="332" spans="1:9" s="312" customFormat="1" ht="18.75" customHeight="1" x14ac:dyDescent="0.25">
      <c r="A332" s="820"/>
      <c r="B332" s="829"/>
      <c r="C332" s="820"/>
      <c r="D332" s="299" t="s">
        <v>294</v>
      </c>
      <c r="E332" s="298"/>
      <c r="F332" s="298">
        <f>F333</f>
        <v>0</v>
      </c>
      <c r="G332" s="326">
        <f>G333</f>
        <v>0</v>
      </c>
      <c r="H332" s="298">
        <f>H333</f>
        <v>0</v>
      </c>
      <c r="I332" s="326">
        <f>I333</f>
        <v>0</v>
      </c>
    </row>
    <row r="333" spans="1:9" s="315" customFormat="1" ht="13.15" customHeight="1" x14ac:dyDescent="0.25">
      <c r="A333" s="820"/>
      <c r="B333" s="829"/>
      <c r="C333" s="820"/>
      <c r="D333" s="273"/>
      <c r="E333" s="301" t="s">
        <v>250</v>
      </c>
      <c r="F333" s="302"/>
      <c r="G333" s="303"/>
      <c r="H333" s="301"/>
      <c r="I333" s="304"/>
    </row>
    <row r="334" spans="1:9" s="316" customFormat="1" ht="14.25" customHeight="1" x14ac:dyDescent="0.25">
      <c r="A334" s="820"/>
      <c r="B334" s="829"/>
      <c r="C334" s="820"/>
      <c r="D334" s="300" t="s">
        <v>295</v>
      </c>
      <c r="E334" s="300"/>
      <c r="F334" s="317">
        <f>F335+F336</f>
        <v>48</v>
      </c>
      <c r="G334" s="327">
        <f>G335+G336</f>
        <v>119108</v>
      </c>
      <c r="H334" s="317">
        <f>H335+H336</f>
        <v>0</v>
      </c>
      <c r="I334" s="327">
        <f>I335+I336</f>
        <v>0</v>
      </c>
    </row>
    <row r="335" spans="1:9" s="315" customFormat="1" ht="13.15" customHeight="1" x14ac:dyDescent="0.25">
      <c r="A335" s="820"/>
      <c r="B335" s="829"/>
      <c r="C335" s="820"/>
      <c r="D335" s="273"/>
      <c r="E335" s="306" t="s">
        <v>248</v>
      </c>
      <c r="F335" s="320">
        <f>Bataan!E158</f>
        <v>48</v>
      </c>
      <c r="G335" s="318">
        <f>Bataan!F158</f>
        <v>119108</v>
      </c>
      <c r="H335" s="320"/>
      <c r="I335" s="318"/>
    </row>
    <row r="336" spans="1:9" s="315" customFormat="1" ht="13.15" customHeight="1" x14ac:dyDescent="0.25">
      <c r="A336" s="820"/>
      <c r="B336" s="829"/>
      <c r="C336" s="820"/>
      <c r="D336" s="273"/>
      <c r="E336" s="306" t="s">
        <v>249</v>
      </c>
      <c r="F336" s="307">
        <f>Bataan!E165</f>
        <v>0</v>
      </c>
      <c r="G336" s="318">
        <f>Bataan!F165</f>
        <v>0</v>
      </c>
      <c r="H336" s="307"/>
      <c r="I336" s="318"/>
    </row>
    <row r="337" spans="1:9" s="316" customFormat="1" ht="14.25" customHeight="1" x14ac:dyDescent="0.25">
      <c r="A337" s="820"/>
      <c r="B337" s="829"/>
      <c r="C337" s="820"/>
      <c r="D337" s="300" t="s">
        <v>296</v>
      </c>
      <c r="E337" s="300"/>
      <c r="F337" s="317">
        <f>F338+F339+F340+F341+F342</f>
        <v>4</v>
      </c>
      <c r="G337" s="327">
        <f>G338+G339+G340+G341+G342</f>
        <v>10500</v>
      </c>
      <c r="H337" s="317">
        <f>H338+H339+H340+H341+H342</f>
        <v>0</v>
      </c>
      <c r="I337" s="327">
        <f>I338+I339+I340+I341+I342</f>
        <v>0</v>
      </c>
    </row>
    <row r="338" spans="1:9" s="315" customFormat="1" ht="13.15" customHeight="1" x14ac:dyDescent="0.25">
      <c r="A338" s="820"/>
      <c r="B338" s="829"/>
      <c r="C338" s="820"/>
      <c r="D338" s="273"/>
      <c r="E338" s="306" t="s">
        <v>248</v>
      </c>
      <c r="F338" s="320">
        <f>Bulacan!E299</f>
        <v>0</v>
      </c>
      <c r="G338" s="318">
        <f>Bulacan!F299</f>
        <v>0</v>
      </c>
      <c r="H338" s="307"/>
      <c r="I338" s="318"/>
    </row>
    <row r="339" spans="1:9" s="315" customFormat="1" ht="13.15" customHeight="1" x14ac:dyDescent="0.25">
      <c r="A339" s="820"/>
      <c r="B339" s="829"/>
      <c r="C339" s="820"/>
      <c r="D339" s="273"/>
      <c r="E339" s="306" t="s">
        <v>249</v>
      </c>
      <c r="F339" s="307">
        <f>Bulacan!E306</f>
        <v>0</v>
      </c>
      <c r="G339" s="318">
        <f>Bulacan!F306</f>
        <v>0</v>
      </c>
      <c r="H339" s="307"/>
      <c r="I339" s="318"/>
    </row>
    <row r="340" spans="1:9" s="315" customFormat="1" ht="13.15" customHeight="1" x14ac:dyDescent="0.25">
      <c r="A340" s="820"/>
      <c r="B340" s="829"/>
      <c r="C340" s="820"/>
      <c r="D340" s="273"/>
      <c r="E340" s="306" t="s">
        <v>288</v>
      </c>
      <c r="F340" s="307">
        <f>Bulacan!E314</f>
        <v>4</v>
      </c>
      <c r="G340" s="318">
        <f>Bulacan!F314</f>
        <v>10500</v>
      </c>
      <c r="H340" s="307"/>
      <c r="I340" s="318"/>
    </row>
    <row r="341" spans="1:9" s="315" customFormat="1" ht="13.15" customHeight="1" x14ac:dyDescent="0.25">
      <c r="A341" s="820"/>
      <c r="B341" s="829"/>
      <c r="C341" s="820"/>
      <c r="D341" s="273"/>
      <c r="E341" s="306" t="s">
        <v>289</v>
      </c>
      <c r="F341" s="307">
        <f>Bulacan!E321</f>
        <v>0</v>
      </c>
      <c r="G341" s="318">
        <f>Bulacan!F321</f>
        <v>0</v>
      </c>
      <c r="H341" s="307"/>
      <c r="I341" s="318"/>
    </row>
    <row r="342" spans="1:9" s="315" customFormat="1" ht="13.15" customHeight="1" x14ac:dyDescent="0.25">
      <c r="A342" s="820"/>
      <c r="B342" s="829"/>
      <c r="C342" s="820"/>
      <c r="D342" s="273"/>
      <c r="E342" s="306" t="s">
        <v>290</v>
      </c>
      <c r="F342" s="307">
        <f>Bulacan!E326</f>
        <v>0</v>
      </c>
      <c r="G342" s="318">
        <f>Bulacan!F326</f>
        <v>0</v>
      </c>
      <c r="H342" s="307"/>
      <c r="I342" s="318"/>
    </row>
    <row r="343" spans="1:9" s="316" customFormat="1" ht="14.25" customHeight="1" x14ac:dyDescent="0.25">
      <c r="A343" s="820"/>
      <c r="B343" s="829"/>
      <c r="C343" s="820"/>
      <c r="D343" s="300" t="s">
        <v>297</v>
      </c>
      <c r="E343" s="300"/>
      <c r="F343" s="319">
        <f>F344+F345+F346+F347</f>
        <v>0</v>
      </c>
      <c r="G343" s="327">
        <f>G344+G345+G346+G347</f>
        <v>0</v>
      </c>
      <c r="H343" s="319">
        <f>H344+H345+H346+H347</f>
        <v>0</v>
      </c>
      <c r="I343" s="327">
        <f>I344+I345+I346+I347</f>
        <v>0</v>
      </c>
    </row>
    <row r="344" spans="1:9" s="315" customFormat="1" ht="13.15" customHeight="1" x14ac:dyDescent="0.25">
      <c r="A344" s="820"/>
      <c r="B344" s="829"/>
      <c r="C344" s="820"/>
      <c r="D344" s="273"/>
      <c r="E344" s="306" t="s">
        <v>248</v>
      </c>
      <c r="F344" s="320"/>
      <c r="G344" s="318"/>
      <c r="H344" s="320"/>
      <c r="I344" s="318"/>
    </row>
    <row r="345" spans="1:9" s="315" customFormat="1" ht="13.15" customHeight="1" x14ac:dyDescent="0.25">
      <c r="A345" s="820"/>
      <c r="B345" s="829"/>
      <c r="C345" s="820"/>
      <c r="D345" s="273"/>
      <c r="E345" s="306" t="s">
        <v>249</v>
      </c>
      <c r="F345" s="307"/>
      <c r="G345" s="318"/>
      <c r="H345" s="307"/>
      <c r="I345" s="318"/>
    </row>
    <row r="346" spans="1:9" s="315" customFormat="1" ht="13.15" customHeight="1" x14ac:dyDescent="0.25">
      <c r="A346" s="820"/>
      <c r="B346" s="829"/>
      <c r="C346" s="820"/>
      <c r="D346" s="273"/>
      <c r="E346" s="306" t="s">
        <v>288</v>
      </c>
      <c r="F346" s="307"/>
      <c r="G346" s="318"/>
      <c r="H346" s="307"/>
      <c r="I346" s="318"/>
    </row>
    <row r="347" spans="1:9" s="315" customFormat="1" ht="13.15" customHeight="1" x14ac:dyDescent="0.25">
      <c r="A347" s="820"/>
      <c r="B347" s="829"/>
      <c r="C347" s="820"/>
      <c r="D347" s="273"/>
      <c r="E347" s="306" t="s">
        <v>289</v>
      </c>
      <c r="F347" s="307"/>
      <c r="G347" s="318"/>
      <c r="H347" s="307"/>
      <c r="I347" s="318"/>
    </row>
    <row r="348" spans="1:9" s="316" customFormat="1" ht="14.25" customHeight="1" x14ac:dyDescent="0.25">
      <c r="A348" s="820"/>
      <c r="B348" s="829"/>
      <c r="C348" s="820"/>
      <c r="D348" s="300" t="s">
        <v>298</v>
      </c>
      <c r="E348" s="300"/>
      <c r="F348" s="319">
        <f>F349+F350+F351+F352</f>
        <v>413</v>
      </c>
      <c r="G348" s="327">
        <f>G349+G350+G351+G352</f>
        <v>489931.93000000005</v>
      </c>
      <c r="H348" s="319">
        <f>H349+H350+H351+H352</f>
        <v>0</v>
      </c>
      <c r="I348" s="327">
        <f>I349+I350+I351+I352</f>
        <v>0</v>
      </c>
    </row>
    <row r="349" spans="1:9" s="315" customFormat="1" ht="13.15" customHeight="1" x14ac:dyDescent="0.25">
      <c r="A349" s="820"/>
      <c r="B349" s="829"/>
      <c r="C349" s="820"/>
      <c r="D349" s="273"/>
      <c r="E349" s="306" t="s">
        <v>248</v>
      </c>
      <c r="F349" s="307">
        <f>Pampanga!E295</f>
        <v>134</v>
      </c>
      <c r="G349" s="318">
        <f>Pampanga!F295</f>
        <v>28264.5</v>
      </c>
      <c r="H349" s="307"/>
      <c r="I349" s="318"/>
    </row>
    <row r="350" spans="1:9" s="315" customFormat="1" ht="13.15" customHeight="1" x14ac:dyDescent="0.25">
      <c r="A350" s="820"/>
      <c r="B350" s="829"/>
      <c r="C350" s="820"/>
      <c r="D350" s="273"/>
      <c r="E350" s="306" t="s">
        <v>249</v>
      </c>
      <c r="F350" s="307">
        <f>Pampanga!E299</f>
        <v>0</v>
      </c>
      <c r="G350" s="318">
        <f>Pampanga!F299</f>
        <v>0</v>
      </c>
      <c r="H350" s="307"/>
      <c r="I350" s="318"/>
    </row>
    <row r="351" spans="1:9" s="315" customFormat="1" ht="13.15" customHeight="1" x14ac:dyDescent="0.25">
      <c r="A351" s="820"/>
      <c r="B351" s="829"/>
      <c r="C351" s="820"/>
      <c r="D351" s="273"/>
      <c r="E351" s="306" t="s">
        <v>288</v>
      </c>
      <c r="F351" s="307">
        <f>Pampanga!E306</f>
        <v>157</v>
      </c>
      <c r="G351" s="318">
        <f>Pampanga!F306</f>
        <v>195714.27000000002</v>
      </c>
      <c r="H351" s="307"/>
      <c r="I351" s="318"/>
    </row>
    <row r="352" spans="1:9" s="315" customFormat="1" ht="13.15" customHeight="1" x14ac:dyDescent="0.25">
      <c r="A352" s="820"/>
      <c r="B352" s="829"/>
      <c r="C352" s="820"/>
      <c r="D352" s="273"/>
      <c r="E352" s="306" t="s">
        <v>289</v>
      </c>
      <c r="F352" s="307">
        <f>Pampanga!E312</f>
        <v>122</v>
      </c>
      <c r="G352" s="318">
        <f>Pampanga!F312</f>
        <v>265953.16000000003</v>
      </c>
      <c r="H352" s="307"/>
      <c r="I352" s="318"/>
    </row>
    <row r="353" spans="1:9" s="316" customFormat="1" ht="14.25" customHeight="1" x14ac:dyDescent="0.25">
      <c r="A353" s="820"/>
      <c r="B353" s="829"/>
      <c r="C353" s="820"/>
      <c r="D353" s="300" t="s">
        <v>299</v>
      </c>
      <c r="E353" s="300"/>
      <c r="F353" s="319">
        <f>F354+F355+F356</f>
        <v>0</v>
      </c>
      <c r="G353" s="327">
        <f>G354+G355+G356</f>
        <v>0</v>
      </c>
      <c r="H353" s="319">
        <f>H354+H355+H356</f>
        <v>0</v>
      </c>
      <c r="I353" s="327">
        <f>I354+I355+I356</f>
        <v>0</v>
      </c>
    </row>
    <row r="354" spans="1:9" s="315" customFormat="1" ht="13.15" customHeight="1" x14ac:dyDescent="0.25">
      <c r="A354" s="820"/>
      <c r="B354" s="829"/>
      <c r="C354" s="820"/>
      <c r="D354" s="273"/>
      <c r="E354" s="306" t="s">
        <v>248</v>
      </c>
      <c r="F354" s="307"/>
      <c r="G354" s="318"/>
      <c r="H354" s="307"/>
      <c r="I354" s="318"/>
    </row>
    <row r="355" spans="1:9" s="315" customFormat="1" ht="13.15" customHeight="1" x14ac:dyDescent="0.25">
      <c r="A355" s="820"/>
      <c r="B355" s="829"/>
      <c r="C355" s="820"/>
      <c r="D355" s="273"/>
      <c r="E355" s="306" t="s">
        <v>249</v>
      </c>
      <c r="F355" s="307"/>
      <c r="G355" s="318"/>
      <c r="H355" s="307"/>
      <c r="I355" s="318"/>
    </row>
    <row r="356" spans="1:9" s="315" customFormat="1" ht="13.15" customHeight="1" x14ac:dyDescent="0.25">
      <c r="A356" s="820"/>
      <c r="B356" s="829"/>
      <c r="C356" s="820"/>
      <c r="D356" s="273"/>
      <c r="E356" s="306" t="s">
        <v>288</v>
      </c>
      <c r="F356" s="307"/>
      <c r="G356" s="318"/>
      <c r="H356" s="307"/>
      <c r="I356" s="318"/>
    </row>
    <row r="357" spans="1:9" s="316" customFormat="1" ht="14.25" customHeight="1" x14ac:dyDescent="0.25">
      <c r="A357" s="820"/>
      <c r="B357" s="829"/>
      <c r="C357" s="820"/>
      <c r="D357" s="300" t="s">
        <v>300</v>
      </c>
      <c r="E357" s="300"/>
      <c r="F357" s="319">
        <f>F358+F359</f>
        <v>167</v>
      </c>
      <c r="G357" s="327">
        <f>G358+G359</f>
        <v>402800</v>
      </c>
      <c r="H357" s="319">
        <f>H358+H359</f>
        <v>0</v>
      </c>
      <c r="I357" s="327">
        <f>I358+I359</f>
        <v>0</v>
      </c>
    </row>
    <row r="358" spans="1:9" s="315" customFormat="1" ht="13.15" customHeight="1" x14ac:dyDescent="0.25">
      <c r="A358" s="820"/>
      <c r="B358" s="829"/>
      <c r="C358" s="820"/>
      <c r="D358" s="273"/>
      <c r="E358" s="306" t="s">
        <v>248</v>
      </c>
      <c r="F358" s="307">
        <f>Zambales!E184</f>
        <v>158</v>
      </c>
      <c r="G358" s="318">
        <f>Zambales!F184</f>
        <v>390300</v>
      </c>
      <c r="H358" s="307"/>
      <c r="I358" s="318"/>
    </row>
    <row r="359" spans="1:9" s="315" customFormat="1" ht="13.15" customHeight="1" x14ac:dyDescent="0.25">
      <c r="A359" s="821"/>
      <c r="B359" s="830"/>
      <c r="C359" s="821"/>
      <c r="D359" s="273"/>
      <c r="E359" s="306" t="s">
        <v>249</v>
      </c>
      <c r="F359" s="307">
        <f>Zambales!E189</f>
        <v>9</v>
      </c>
      <c r="G359" s="318">
        <f>Zambales!F189</f>
        <v>12500</v>
      </c>
      <c r="H359" s="307"/>
      <c r="I359" s="318"/>
    </row>
    <row r="360" spans="1:9" x14ac:dyDescent="0.25">
      <c r="A360" s="310" t="s">
        <v>26</v>
      </c>
      <c r="B360" s="310" t="s">
        <v>28</v>
      </c>
      <c r="E360" s="310" t="s">
        <v>31</v>
      </c>
    </row>
    <row r="364" spans="1:9" x14ac:dyDescent="0.25">
      <c r="A364" s="310" t="s">
        <v>27</v>
      </c>
      <c r="B364" s="310" t="s">
        <v>29</v>
      </c>
      <c r="E364" s="310" t="s">
        <v>32</v>
      </c>
    </row>
    <row r="365" spans="1:9" x14ac:dyDescent="0.25">
      <c r="A365" s="310" t="s">
        <v>223</v>
      </c>
      <c r="B365" s="310" t="s">
        <v>30</v>
      </c>
      <c r="E365" s="310" t="s">
        <v>33</v>
      </c>
    </row>
  </sheetData>
  <mergeCells count="41">
    <mergeCell ref="A1:I1"/>
    <mergeCell ref="A2:I2"/>
    <mergeCell ref="A4:I4"/>
    <mergeCell ref="A6:A7"/>
    <mergeCell ref="B6:B7"/>
    <mergeCell ref="C6:C7"/>
    <mergeCell ref="E6:E7"/>
    <mergeCell ref="F6:F7"/>
    <mergeCell ref="G6:G7"/>
    <mergeCell ref="H6:I6"/>
    <mergeCell ref="D6:D7"/>
    <mergeCell ref="A159:A187"/>
    <mergeCell ref="B159:B187"/>
    <mergeCell ref="C159:C187"/>
    <mergeCell ref="A55:A83"/>
    <mergeCell ref="B55:B83"/>
    <mergeCell ref="C55:C83"/>
    <mergeCell ref="A89:A117"/>
    <mergeCell ref="B89:B117"/>
    <mergeCell ref="C89:C117"/>
    <mergeCell ref="A10:A38"/>
    <mergeCell ref="B10:B38"/>
    <mergeCell ref="C10:C38"/>
    <mergeCell ref="A124:A152"/>
    <mergeCell ref="B124:B152"/>
    <mergeCell ref="C124:C152"/>
    <mergeCell ref="A194:A222"/>
    <mergeCell ref="B194:B222"/>
    <mergeCell ref="A331:A359"/>
    <mergeCell ref="C331:C359"/>
    <mergeCell ref="C229:C257"/>
    <mergeCell ref="A262:A290"/>
    <mergeCell ref="B262:B290"/>
    <mergeCell ref="C262:C290"/>
    <mergeCell ref="A296:A324"/>
    <mergeCell ref="B296:B324"/>
    <mergeCell ref="C296:C324"/>
    <mergeCell ref="A229:A257"/>
    <mergeCell ref="B229:B257"/>
    <mergeCell ref="B331:B359"/>
    <mergeCell ref="C194:C222"/>
  </mergeCells>
  <printOptions horizontalCentered="1"/>
  <pageMargins left="0.14000000000000001" right="0.56999999999999995" top="0.68" bottom="0.68" header="0.3" footer="0.4"/>
  <pageSetup paperSize="9" scale="80" orientation="landscape" verticalDpi="300" r:id="rId1"/>
  <headerFooter>
    <oddFooter>&amp;LCongressional Report
&amp;CPage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39"/>
  <sheetViews>
    <sheetView zoomScale="80" zoomScaleNormal="80" workbookViewId="0">
      <selection activeCell="M29" sqref="M29"/>
    </sheetView>
  </sheetViews>
  <sheetFormatPr defaultRowHeight="15" x14ac:dyDescent="0.25"/>
  <cols>
    <col min="1" max="1" width="14.28515625" style="666" customWidth="1"/>
    <col min="2" max="2" width="11.42578125" style="666" customWidth="1"/>
    <col min="3" max="3" width="17.28515625" style="690" customWidth="1"/>
    <col min="4" max="4" width="11.7109375" style="690" customWidth="1"/>
    <col min="5" max="5" width="16.42578125" style="690" customWidth="1"/>
    <col min="6" max="6" width="8.42578125" style="666" customWidth="1"/>
    <col min="7" max="7" width="15.140625" style="666" customWidth="1"/>
    <col min="8" max="8" width="8.7109375" style="666" customWidth="1"/>
    <col min="9" max="9" width="16" style="690" customWidth="1"/>
    <col min="10" max="10" width="11.5703125" style="666" customWidth="1"/>
    <col min="11" max="11" width="14.5703125" style="690" customWidth="1"/>
    <col min="12" max="12" width="11.42578125" style="666" customWidth="1"/>
    <col min="13" max="13" width="14.5703125" style="690" customWidth="1"/>
    <col min="14" max="14" width="17.42578125" style="666" customWidth="1"/>
    <col min="15" max="15" width="9.140625" style="666"/>
    <col min="16" max="16" width="18.140625" style="666" customWidth="1"/>
    <col min="17" max="17" width="9.140625" style="666"/>
    <col min="18" max="18" width="15.42578125" style="666" customWidth="1"/>
    <col min="19" max="19" width="9.140625" style="666"/>
    <col min="20" max="20" width="15.42578125" style="666" customWidth="1"/>
    <col min="21" max="16384" width="9.140625" style="666"/>
  </cols>
  <sheetData>
    <row r="1" spans="1:13" x14ac:dyDescent="0.25">
      <c r="A1" s="947" t="s">
        <v>39</v>
      </c>
      <c r="B1" s="947"/>
      <c r="C1" s="947"/>
      <c r="D1" s="947"/>
      <c r="E1" s="947"/>
      <c r="F1" s="947"/>
      <c r="G1" s="947"/>
      <c r="H1" s="947"/>
      <c r="I1" s="947"/>
      <c r="J1" s="947"/>
      <c r="K1" s="947"/>
      <c r="L1" s="947"/>
      <c r="M1" s="947"/>
    </row>
    <row r="2" spans="1:13" x14ac:dyDescent="0.25">
      <c r="A2" s="947" t="s">
        <v>40</v>
      </c>
      <c r="B2" s="947"/>
      <c r="C2" s="947"/>
      <c r="D2" s="947"/>
      <c r="E2" s="947"/>
      <c r="F2" s="947"/>
      <c r="G2" s="947"/>
      <c r="H2" s="947"/>
      <c r="I2" s="947"/>
      <c r="J2" s="947"/>
      <c r="K2" s="947"/>
      <c r="L2" s="947"/>
      <c r="M2" s="947"/>
    </row>
    <row r="3" spans="1:13" x14ac:dyDescent="0.25">
      <c r="A3" s="947" t="s">
        <v>302</v>
      </c>
      <c r="B3" s="947"/>
      <c r="C3" s="947"/>
      <c r="D3" s="947"/>
      <c r="E3" s="947"/>
      <c r="F3" s="947"/>
      <c r="G3" s="947"/>
      <c r="H3" s="947"/>
      <c r="I3" s="947"/>
      <c r="J3" s="947"/>
      <c r="K3" s="947"/>
      <c r="L3" s="947"/>
      <c r="M3" s="947"/>
    </row>
    <row r="5" spans="1:13" ht="18.75" x14ac:dyDescent="0.3">
      <c r="A5" s="948" t="s">
        <v>339</v>
      </c>
      <c r="B5" s="948"/>
      <c r="C5" s="948"/>
      <c r="D5" s="948"/>
      <c r="E5" s="948"/>
      <c r="F5" s="948"/>
      <c r="G5" s="948"/>
      <c r="H5" s="948"/>
      <c r="I5" s="948"/>
      <c r="J5" s="948"/>
      <c r="K5" s="948"/>
      <c r="L5" s="948"/>
      <c r="M5" s="948"/>
    </row>
    <row r="6" spans="1:13" customFormat="1" ht="15.75" customHeight="1" x14ac:dyDescent="0.25">
      <c r="A6" s="912" t="str">
        <f>Summary2015!A6</f>
        <v>JANUARY TO DECEMBER 2015</v>
      </c>
      <c r="B6" s="912"/>
      <c r="C6" s="912"/>
      <c r="D6" s="912"/>
      <c r="E6" s="912"/>
      <c r="F6" s="912"/>
      <c r="G6" s="912"/>
      <c r="H6" s="912"/>
      <c r="I6" s="912"/>
      <c r="J6" s="912"/>
      <c r="K6" s="912"/>
      <c r="L6" s="912"/>
      <c r="M6" s="912"/>
    </row>
    <row r="7" spans="1:13" s="697" customFormat="1" ht="15.75" x14ac:dyDescent="0.25">
      <c r="A7" s="697" t="s">
        <v>336</v>
      </c>
      <c r="C7" s="698"/>
      <c r="D7" s="698"/>
      <c r="E7" s="698"/>
      <c r="I7" s="698"/>
      <c r="K7" s="698"/>
      <c r="M7" s="698"/>
    </row>
    <row r="8" spans="1:13" s="699" customFormat="1" ht="29.25" customHeight="1" x14ac:dyDescent="0.25">
      <c r="A8" s="949" t="s">
        <v>3</v>
      </c>
      <c r="B8" s="935" t="s">
        <v>5</v>
      </c>
      <c r="C8" s="936"/>
      <c r="D8" s="936"/>
      <c r="E8" s="937"/>
      <c r="F8" s="935" t="s">
        <v>7</v>
      </c>
      <c r="G8" s="936"/>
      <c r="H8" s="936"/>
      <c r="I8" s="937"/>
      <c r="J8" s="935" t="s">
        <v>306</v>
      </c>
      <c r="K8" s="936"/>
      <c r="L8" s="936"/>
      <c r="M8" s="937"/>
    </row>
    <row r="9" spans="1:13" ht="18" customHeight="1" x14ac:dyDescent="0.25">
      <c r="A9" s="949"/>
      <c r="B9" s="938" t="s">
        <v>327</v>
      </c>
      <c r="C9" s="938"/>
      <c r="D9" s="939" t="s">
        <v>333</v>
      </c>
      <c r="E9" s="940"/>
      <c r="F9" s="938" t="s">
        <v>327</v>
      </c>
      <c r="G9" s="938"/>
      <c r="H9" s="939" t="s">
        <v>333</v>
      </c>
      <c r="I9" s="940"/>
      <c r="J9" s="938" t="s">
        <v>327</v>
      </c>
      <c r="K9" s="938"/>
      <c r="L9" s="939" t="s">
        <v>333</v>
      </c>
      <c r="M9" s="940"/>
    </row>
    <row r="10" spans="1:13" s="675" customFormat="1" ht="45" x14ac:dyDescent="0.25">
      <c r="A10" s="949"/>
      <c r="B10" s="695" t="s">
        <v>307</v>
      </c>
      <c r="C10" s="639" t="s">
        <v>60</v>
      </c>
      <c r="D10" s="695" t="s">
        <v>307</v>
      </c>
      <c r="E10" s="674" t="s">
        <v>305</v>
      </c>
      <c r="F10" s="695" t="s">
        <v>308</v>
      </c>
      <c r="G10" s="694" t="s">
        <v>60</v>
      </c>
      <c r="H10" s="695" t="s">
        <v>308</v>
      </c>
      <c r="I10" s="674" t="s">
        <v>305</v>
      </c>
      <c r="J10" s="695" t="s">
        <v>309</v>
      </c>
      <c r="K10" s="639" t="s">
        <v>60</v>
      </c>
      <c r="L10" s="695" t="s">
        <v>309</v>
      </c>
      <c r="M10" s="674" t="s">
        <v>305</v>
      </c>
    </row>
    <row r="11" spans="1:13" x14ac:dyDescent="0.25">
      <c r="A11" s="676" t="s">
        <v>81</v>
      </c>
      <c r="B11" s="677">
        <f t="shared" ref="B11:M11" si="0">SUM(B12:B17)</f>
        <v>9032</v>
      </c>
      <c r="C11" s="678">
        <f t="shared" si="0"/>
        <v>135480000</v>
      </c>
      <c r="D11" s="677">
        <f t="shared" si="0"/>
        <v>9657</v>
      </c>
      <c r="E11" s="679">
        <f t="shared" si="0"/>
        <v>102513000</v>
      </c>
      <c r="F11" s="677">
        <f t="shared" si="0"/>
        <v>601</v>
      </c>
      <c r="G11" s="678">
        <f t="shared" si="0"/>
        <v>6010000</v>
      </c>
      <c r="H11" s="677">
        <f t="shared" si="0"/>
        <v>372</v>
      </c>
      <c r="I11" s="678">
        <f t="shared" si="0"/>
        <v>2162490</v>
      </c>
      <c r="J11" s="677">
        <f t="shared" si="0"/>
        <v>5875</v>
      </c>
      <c r="K11" s="678">
        <f t="shared" si="0"/>
        <v>9165000</v>
      </c>
      <c r="L11" s="680">
        <f t="shared" si="0"/>
        <v>5871</v>
      </c>
      <c r="M11" s="678">
        <f t="shared" si="0"/>
        <v>6187623</v>
      </c>
    </row>
    <row r="12" spans="1:13" x14ac:dyDescent="0.25">
      <c r="A12" s="695" t="s">
        <v>42</v>
      </c>
      <c r="B12" s="411">
        <f>735-13</f>
        <v>722</v>
      </c>
      <c r="C12" s="412">
        <f t="shared" ref="C12:C17" si="1">B12*15000</f>
        <v>10830000</v>
      </c>
      <c r="D12" s="769">
        <v>815</v>
      </c>
      <c r="E12" s="769">
        <v>8254600</v>
      </c>
      <c r="F12" s="383"/>
      <c r="G12" s="384">
        <f>F12*10000</f>
        <v>0</v>
      </c>
      <c r="H12" s="743">
        <v>53</v>
      </c>
      <c r="I12" s="744">
        <v>289115</v>
      </c>
      <c r="J12" s="729">
        <v>567</v>
      </c>
      <c r="K12" s="686">
        <f>J12*1560</f>
        <v>884520</v>
      </c>
      <c r="L12" s="681">
        <v>520</v>
      </c>
      <c r="M12" s="682">
        <v>405600</v>
      </c>
    </row>
    <row r="13" spans="1:13" x14ac:dyDescent="0.25">
      <c r="A13" s="695" t="s">
        <v>43</v>
      </c>
      <c r="B13" s="411">
        <f>2915-23</f>
        <v>2892</v>
      </c>
      <c r="C13" s="412">
        <f t="shared" si="1"/>
        <v>43380000</v>
      </c>
      <c r="D13" s="769">
        <v>3069</v>
      </c>
      <c r="E13" s="769">
        <v>33213800</v>
      </c>
      <c r="F13" s="383">
        <v>157</v>
      </c>
      <c r="G13" s="384">
        <f t="shared" ref="G13:G17" si="2">F13*10000</f>
        <v>1570000</v>
      </c>
      <c r="H13" s="743">
        <v>115</v>
      </c>
      <c r="I13" s="744">
        <v>648995</v>
      </c>
      <c r="J13" s="729">
        <v>1650</v>
      </c>
      <c r="K13" s="686">
        <f t="shared" ref="K13:K17" si="3">J13*1560</f>
        <v>2574000</v>
      </c>
      <c r="L13" s="681">
        <v>2227</v>
      </c>
      <c r="M13" s="682">
        <v>2113423</v>
      </c>
    </row>
    <row r="14" spans="1:13" x14ac:dyDescent="0.25">
      <c r="A14" s="695" t="s">
        <v>44</v>
      </c>
      <c r="B14" s="411">
        <f>1812-10</f>
        <v>1802</v>
      </c>
      <c r="C14" s="412">
        <f t="shared" si="1"/>
        <v>27030000</v>
      </c>
      <c r="D14" s="769">
        <v>1942</v>
      </c>
      <c r="E14" s="769">
        <v>20725600</v>
      </c>
      <c r="F14" s="383"/>
      <c r="G14" s="384">
        <f t="shared" si="2"/>
        <v>0</v>
      </c>
      <c r="H14" s="743">
        <v>44</v>
      </c>
      <c r="I14" s="744">
        <v>220000</v>
      </c>
      <c r="J14" s="729">
        <v>1100</v>
      </c>
      <c r="K14" s="686">
        <f t="shared" si="3"/>
        <v>1716000</v>
      </c>
      <c r="L14" s="681">
        <v>1350</v>
      </c>
      <c r="M14" s="682">
        <v>2106000</v>
      </c>
    </row>
    <row r="15" spans="1:13" x14ac:dyDescent="0.25">
      <c r="A15" s="695" t="s">
        <v>45</v>
      </c>
      <c r="B15" s="411">
        <f>1192-16</f>
        <v>1176</v>
      </c>
      <c r="C15" s="412">
        <f t="shared" si="1"/>
        <v>17640000</v>
      </c>
      <c r="D15" s="769">
        <v>1320</v>
      </c>
      <c r="E15" s="769">
        <v>14242900</v>
      </c>
      <c r="F15" s="383">
        <v>394</v>
      </c>
      <c r="G15" s="384">
        <f t="shared" si="2"/>
        <v>3940000</v>
      </c>
      <c r="H15" s="743">
        <v>60</v>
      </c>
      <c r="I15" s="744">
        <v>324380</v>
      </c>
      <c r="J15" s="729">
        <v>658</v>
      </c>
      <c r="K15" s="686">
        <f t="shared" si="3"/>
        <v>1026480</v>
      </c>
      <c r="L15" s="681"/>
      <c r="M15" s="682"/>
    </row>
    <row r="16" spans="1:13" x14ac:dyDescent="0.25">
      <c r="A16" s="695" t="s">
        <v>46</v>
      </c>
      <c r="B16" s="411">
        <v>1646</v>
      </c>
      <c r="C16" s="412">
        <f t="shared" si="1"/>
        <v>24690000</v>
      </c>
      <c r="D16" s="769">
        <v>1713</v>
      </c>
      <c r="E16" s="769">
        <v>17674000</v>
      </c>
      <c r="F16" s="383">
        <v>50</v>
      </c>
      <c r="G16" s="384">
        <f t="shared" si="2"/>
        <v>500000</v>
      </c>
      <c r="H16" s="743">
        <v>41</v>
      </c>
      <c r="I16" s="744">
        <v>410000</v>
      </c>
      <c r="J16" s="729">
        <v>1200</v>
      </c>
      <c r="K16" s="686">
        <f t="shared" si="3"/>
        <v>1872000</v>
      </c>
      <c r="L16" s="681">
        <v>1074</v>
      </c>
      <c r="M16" s="682">
        <v>698100</v>
      </c>
    </row>
    <row r="17" spans="1:13" x14ac:dyDescent="0.25">
      <c r="A17" s="695" t="s">
        <v>47</v>
      </c>
      <c r="B17" s="411">
        <f>799-5</f>
        <v>794</v>
      </c>
      <c r="C17" s="412">
        <f t="shared" si="1"/>
        <v>11910000</v>
      </c>
      <c r="D17" s="769">
        <v>798</v>
      </c>
      <c r="E17" s="769">
        <v>8402100</v>
      </c>
      <c r="F17" s="383"/>
      <c r="G17" s="384">
        <f t="shared" si="2"/>
        <v>0</v>
      </c>
      <c r="H17" s="743">
        <v>59</v>
      </c>
      <c r="I17" s="744">
        <v>270000</v>
      </c>
      <c r="J17" s="729">
        <v>700</v>
      </c>
      <c r="K17" s="686">
        <f t="shared" si="3"/>
        <v>1092000</v>
      </c>
      <c r="L17" s="681">
        <v>700</v>
      </c>
      <c r="M17" s="682">
        <v>864500</v>
      </c>
    </row>
    <row r="19" spans="1:13" s="699" customFormat="1" ht="18" customHeight="1" x14ac:dyDescent="0.25">
      <c r="A19" s="949" t="s">
        <v>3</v>
      </c>
      <c r="B19" s="935" t="s">
        <v>16</v>
      </c>
      <c r="C19" s="936"/>
      <c r="D19" s="936"/>
      <c r="E19" s="937"/>
      <c r="F19" s="950" t="s">
        <v>421</v>
      </c>
      <c r="G19" s="951"/>
      <c r="H19" s="951"/>
      <c r="I19" s="952"/>
      <c r="J19" s="935" t="s">
        <v>329</v>
      </c>
      <c r="K19" s="936"/>
      <c r="L19" s="936"/>
      <c r="M19" s="937"/>
    </row>
    <row r="20" spans="1:13" ht="13.5" customHeight="1" x14ac:dyDescent="0.25">
      <c r="A20" s="949"/>
      <c r="B20" s="938" t="s">
        <v>327</v>
      </c>
      <c r="C20" s="938"/>
      <c r="D20" s="939" t="s">
        <v>333</v>
      </c>
      <c r="E20" s="940"/>
      <c r="F20" s="938" t="s">
        <v>327</v>
      </c>
      <c r="G20" s="938"/>
      <c r="H20" s="939" t="s">
        <v>333</v>
      </c>
      <c r="I20" s="940"/>
      <c r="J20" s="938" t="s">
        <v>327</v>
      </c>
      <c r="K20" s="938"/>
      <c r="L20" s="939" t="s">
        <v>333</v>
      </c>
      <c r="M20" s="940"/>
    </row>
    <row r="21" spans="1:13" ht="45" customHeight="1" x14ac:dyDescent="0.25">
      <c r="A21" s="949"/>
      <c r="B21" s="695" t="s">
        <v>330</v>
      </c>
      <c r="C21" s="639" t="s">
        <v>60</v>
      </c>
      <c r="D21" s="695" t="s">
        <v>330</v>
      </c>
      <c r="E21" s="674" t="s">
        <v>305</v>
      </c>
      <c r="F21" s="695" t="s">
        <v>253</v>
      </c>
      <c r="G21" s="694" t="s">
        <v>60</v>
      </c>
      <c r="H21" s="695" t="s">
        <v>253</v>
      </c>
      <c r="I21" s="674" t="s">
        <v>305</v>
      </c>
      <c r="J21" s="695" t="s">
        <v>310</v>
      </c>
      <c r="K21" s="639" t="s">
        <v>60</v>
      </c>
      <c r="L21" s="695" t="s">
        <v>310</v>
      </c>
      <c r="M21" s="674" t="s">
        <v>305</v>
      </c>
    </row>
    <row r="22" spans="1:13" x14ac:dyDescent="0.25">
      <c r="A22" s="676" t="s">
        <v>81</v>
      </c>
      <c r="B22" s="677">
        <f t="shared" ref="B22:M22" si="4">SUM(B23:B28)</f>
        <v>2021</v>
      </c>
      <c r="C22" s="678">
        <f t="shared" si="4"/>
        <v>12126000</v>
      </c>
      <c r="D22" s="677">
        <f t="shared" si="4"/>
        <v>2596</v>
      </c>
      <c r="E22" s="678">
        <f t="shared" si="4"/>
        <v>15576000</v>
      </c>
      <c r="F22" s="677">
        <f t="shared" si="4"/>
        <v>15</v>
      </c>
      <c r="G22" s="678">
        <f t="shared" si="4"/>
        <v>21205280</v>
      </c>
      <c r="H22" s="677">
        <f t="shared" si="4"/>
        <v>0</v>
      </c>
      <c r="I22" s="678">
        <f t="shared" si="4"/>
        <v>0</v>
      </c>
      <c r="J22" s="677">
        <f t="shared" si="4"/>
        <v>0</v>
      </c>
      <c r="K22" s="678">
        <f t="shared" si="4"/>
        <v>0</v>
      </c>
      <c r="L22" s="680">
        <f t="shared" si="4"/>
        <v>3517</v>
      </c>
      <c r="M22" s="678">
        <f t="shared" si="4"/>
        <v>13873000</v>
      </c>
    </row>
    <row r="23" spans="1:13" x14ac:dyDescent="0.25">
      <c r="A23" s="695" t="s">
        <v>42</v>
      </c>
      <c r="B23" s="733">
        <v>338</v>
      </c>
      <c r="C23" s="686">
        <f t="shared" ref="C23:C28" si="5">B23*500*12</f>
        <v>2028000</v>
      </c>
      <c r="D23" s="683">
        <v>429</v>
      </c>
      <c r="E23" s="684">
        <f>D23*6000</f>
        <v>2574000</v>
      </c>
      <c r="F23" s="700">
        <v>3</v>
      </c>
      <c r="G23" s="701">
        <v>4550000</v>
      </c>
      <c r="H23" s="30"/>
      <c r="I23" s="384"/>
      <c r="J23" s="685"/>
      <c r="K23" s="686"/>
      <c r="L23" s="739">
        <v>152</v>
      </c>
      <c r="M23" s="740">
        <v>620000</v>
      </c>
    </row>
    <row r="24" spans="1:13" x14ac:dyDescent="0.25">
      <c r="A24" s="695" t="s">
        <v>43</v>
      </c>
      <c r="B24" s="733">
        <v>343</v>
      </c>
      <c r="C24" s="686">
        <f t="shared" si="5"/>
        <v>2058000</v>
      </c>
      <c r="D24" s="683">
        <v>421</v>
      </c>
      <c r="E24" s="684">
        <f t="shared" ref="E24:E28" si="6">D24*6000</f>
        <v>2526000</v>
      </c>
      <c r="F24" s="700">
        <v>2</v>
      </c>
      <c r="G24" s="701">
        <v>6500000</v>
      </c>
      <c r="H24" s="30"/>
      <c r="I24" s="384"/>
      <c r="J24" s="685"/>
      <c r="K24" s="686"/>
      <c r="L24" s="739">
        <v>821</v>
      </c>
      <c r="M24" s="740">
        <v>3163000</v>
      </c>
    </row>
    <row r="25" spans="1:13" x14ac:dyDescent="0.25">
      <c r="A25" s="695" t="s">
        <v>44</v>
      </c>
      <c r="B25" s="733">
        <v>321</v>
      </c>
      <c r="C25" s="686">
        <f t="shared" si="5"/>
        <v>1926000</v>
      </c>
      <c r="D25" s="683">
        <v>381</v>
      </c>
      <c r="E25" s="684">
        <f t="shared" si="6"/>
        <v>2286000</v>
      </c>
      <c r="F25" s="30">
        <v>2</v>
      </c>
      <c r="G25" s="691">
        <v>1805280</v>
      </c>
      <c r="H25" s="30"/>
      <c r="I25" s="384"/>
      <c r="J25" s="685"/>
      <c r="K25" s="686"/>
      <c r="L25" s="739">
        <v>992</v>
      </c>
      <c r="M25" s="740">
        <v>3951000</v>
      </c>
    </row>
    <row r="26" spans="1:13" x14ac:dyDescent="0.25">
      <c r="A26" s="695" t="s">
        <v>45</v>
      </c>
      <c r="B26" s="733">
        <v>305</v>
      </c>
      <c r="C26" s="686">
        <f t="shared" si="5"/>
        <v>1830000</v>
      </c>
      <c r="D26" s="683">
        <v>299</v>
      </c>
      <c r="E26" s="684">
        <f t="shared" si="6"/>
        <v>1794000</v>
      </c>
      <c r="F26" s="30">
        <v>4</v>
      </c>
      <c r="G26" s="691">
        <v>3600000</v>
      </c>
      <c r="H26" s="30"/>
      <c r="I26" s="384"/>
      <c r="J26" s="685"/>
      <c r="K26" s="686"/>
      <c r="L26" s="739">
        <v>63</v>
      </c>
      <c r="M26" s="740">
        <v>226500</v>
      </c>
    </row>
    <row r="27" spans="1:13" x14ac:dyDescent="0.25">
      <c r="A27" s="695" t="s">
        <v>46</v>
      </c>
      <c r="B27" s="733">
        <v>344</v>
      </c>
      <c r="C27" s="686">
        <f t="shared" si="5"/>
        <v>2064000</v>
      </c>
      <c r="D27" s="702">
        <v>569</v>
      </c>
      <c r="E27" s="684">
        <f t="shared" si="6"/>
        <v>3414000</v>
      </c>
      <c r="F27" s="233">
        <v>2</v>
      </c>
      <c r="G27" s="234">
        <v>2750000</v>
      </c>
      <c r="H27" s="30"/>
      <c r="I27" s="384"/>
      <c r="J27" s="685"/>
      <c r="K27" s="686"/>
      <c r="L27" s="739">
        <v>1270</v>
      </c>
      <c r="M27" s="740">
        <v>5048500</v>
      </c>
    </row>
    <row r="28" spans="1:13" x14ac:dyDescent="0.25">
      <c r="A28" s="695" t="s">
        <v>47</v>
      </c>
      <c r="B28" s="733">
        <v>370</v>
      </c>
      <c r="C28" s="686">
        <f t="shared" si="5"/>
        <v>2220000</v>
      </c>
      <c r="D28" s="683">
        <v>497</v>
      </c>
      <c r="E28" s="684">
        <f t="shared" si="6"/>
        <v>2982000</v>
      </c>
      <c r="F28" s="233">
        <v>2</v>
      </c>
      <c r="G28" s="234">
        <v>2000000</v>
      </c>
      <c r="H28" s="30"/>
      <c r="I28" s="384"/>
      <c r="J28" s="685"/>
      <c r="K28" s="686"/>
      <c r="L28" s="739">
        <v>219</v>
      </c>
      <c r="M28" s="740">
        <v>864000</v>
      </c>
    </row>
    <row r="30" spans="1:13" s="699" customFormat="1" ht="30.75" customHeight="1" x14ac:dyDescent="0.25">
      <c r="A30" s="949" t="s">
        <v>3</v>
      </c>
      <c r="B30" s="935" t="s">
        <v>331</v>
      </c>
      <c r="C30" s="936"/>
      <c r="D30" s="936"/>
      <c r="E30" s="937"/>
      <c r="F30" s="935" t="s">
        <v>385</v>
      </c>
      <c r="G30" s="936"/>
      <c r="H30" s="936"/>
      <c r="I30" s="937"/>
      <c r="J30" s="935" t="s">
        <v>376</v>
      </c>
      <c r="K30" s="936"/>
      <c r="L30" s="936"/>
      <c r="M30" s="937"/>
    </row>
    <row r="31" spans="1:13" ht="24.75" customHeight="1" x14ac:dyDescent="0.25">
      <c r="A31" s="949"/>
      <c r="B31" s="938" t="s">
        <v>327</v>
      </c>
      <c r="C31" s="938"/>
      <c r="D31" s="939" t="s">
        <v>333</v>
      </c>
      <c r="E31" s="940"/>
      <c r="F31" s="938" t="s">
        <v>327</v>
      </c>
      <c r="G31" s="938"/>
      <c r="H31" s="939" t="s">
        <v>333</v>
      </c>
      <c r="I31" s="940"/>
      <c r="J31" s="941" t="s">
        <v>60</v>
      </c>
      <c r="K31" s="942"/>
      <c r="L31" s="941" t="s">
        <v>305</v>
      </c>
      <c r="M31" s="942"/>
    </row>
    <row r="32" spans="1:13" ht="45" customHeight="1" x14ac:dyDescent="0.25">
      <c r="A32" s="949"/>
      <c r="B32" s="695" t="s">
        <v>308</v>
      </c>
      <c r="C32" s="639" t="s">
        <v>60</v>
      </c>
      <c r="D32" s="695" t="s">
        <v>332</v>
      </c>
      <c r="E32" s="674" t="s">
        <v>305</v>
      </c>
      <c r="F32" s="695" t="s">
        <v>308</v>
      </c>
      <c r="G32" s="639" t="s">
        <v>60</v>
      </c>
      <c r="H32" s="703" t="s">
        <v>332</v>
      </c>
      <c r="I32" s="674" t="s">
        <v>305</v>
      </c>
      <c r="J32" s="943"/>
      <c r="K32" s="944"/>
      <c r="L32" s="943"/>
      <c r="M32" s="944"/>
    </row>
    <row r="33" spans="1:14" x14ac:dyDescent="0.25">
      <c r="A33" s="676" t="s">
        <v>81</v>
      </c>
      <c r="B33" s="677">
        <f>SUM(B34:B39)</f>
        <v>0</v>
      </c>
      <c r="C33" s="678">
        <f>SUM(C34:C39)</f>
        <v>0</v>
      </c>
      <c r="D33" s="677">
        <f>SUM(D34:D39)</f>
        <v>2</v>
      </c>
      <c r="E33" s="678">
        <f>SUM(E34:E39)</f>
        <v>10000</v>
      </c>
      <c r="F33" s="677"/>
      <c r="G33" s="678"/>
      <c r="H33" s="677">
        <f>SUM(H34:H39)</f>
        <v>0</v>
      </c>
      <c r="I33" s="687">
        <f>SUM(I34:I39)</f>
        <v>0</v>
      </c>
      <c r="J33" s="945">
        <f>SUM(J34:K39)</f>
        <v>0</v>
      </c>
      <c r="K33" s="946"/>
      <c r="L33" s="945">
        <f>SUM(L34:M39)</f>
        <v>0</v>
      </c>
      <c r="M33" s="946"/>
      <c r="N33" s="704"/>
    </row>
    <row r="34" spans="1:14" x14ac:dyDescent="0.25">
      <c r="A34" s="695" t="s">
        <v>42</v>
      </c>
      <c r="B34" s="695"/>
      <c r="C34" s="674"/>
      <c r="D34" s="705"/>
      <c r="E34" s="674"/>
      <c r="F34" s="695"/>
      <c r="G34" s="674"/>
      <c r="H34" s="705"/>
      <c r="I34" s="674"/>
      <c r="J34" s="902"/>
      <c r="K34" s="903"/>
      <c r="L34" s="902"/>
      <c r="M34" s="903"/>
    </row>
    <row r="35" spans="1:14" x14ac:dyDescent="0.25">
      <c r="A35" s="695" t="s">
        <v>43</v>
      </c>
      <c r="B35" s="695"/>
      <c r="C35" s="674"/>
      <c r="D35" s="739">
        <v>2</v>
      </c>
      <c r="E35" s="740">
        <v>10000</v>
      </c>
      <c r="F35" s="695"/>
      <c r="G35" s="674"/>
      <c r="H35" s="688"/>
      <c r="I35" s="674"/>
      <c r="J35" s="902"/>
      <c r="K35" s="903"/>
      <c r="L35" s="902"/>
      <c r="M35" s="903"/>
    </row>
    <row r="36" spans="1:14" x14ac:dyDescent="0.25">
      <c r="A36" s="695" t="s">
        <v>44</v>
      </c>
      <c r="B36" s="695"/>
      <c r="C36" s="674"/>
      <c r="D36" s="688"/>
      <c r="E36" s="674"/>
      <c r="F36" s="695"/>
      <c r="G36" s="674"/>
      <c r="H36" s="688"/>
      <c r="I36" s="674"/>
      <c r="J36" s="902"/>
      <c r="K36" s="903"/>
      <c r="L36" s="902"/>
      <c r="M36" s="903"/>
    </row>
    <row r="37" spans="1:14" x14ac:dyDescent="0.25">
      <c r="A37" s="695" t="s">
        <v>45</v>
      </c>
      <c r="B37" s="695"/>
      <c r="C37" s="674"/>
      <c r="D37" s="688"/>
      <c r="E37" s="674"/>
      <c r="F37" s="695"/>
      <c r="G37" s="674"/>
      <c r="H37" s="688"/>
      <c r="I37" s="674"/>
      <c r="J37" s="902"/>
      <c r="K37" s="903"/>
      <c r="L37" s="902"/>
      <c r="M37" s="903"/>
    </row>
    <row r="38" spans="1:14" x14ac:dyDescent="0.25">
      <c r="A38" s="695" t="s">
        <v>46</v>
      </c>
      <c r="B38" s="695"/>
      <c r="C38" s="674"/>
      <c r="D38" s="688"/>
      <c r="E38" s="674"/>
      <c r="F38" s="695"/>
      <c r="G38" s="674"/>
      <c r="H38" s="688"/>
      <c r="I38" s="674"/>
      <c r="J38" s="902"/>
      <c r="K38" s="903"/>
      <c r="L38" s="902"/>
      <c r="M38" s="903"/>
    </row>
    <row r="39" spans="1:14" x14ac:dyDescent="0.25">
      <c r="A39" s="695" t="s">
        <v>47</v>
      </c>
      <c r="B39" s="695"/>
      <c r="C39" s="674"/>
      <c r="D39" s="688"/>
      <c r="E39" s="674"/>
      <c r="F39" s="695"/>
      <c r="G39" s="674"/>
      <c r="H39" s="688"/>
      <c r="I39" s="674"/>
      <c r="J39" s="902"/>
      <c r="K39" s="903"/>
      <c r="L39" s="902"/>
      <c r="M39" s="903"/>
    </row>
  </sheetData>
  <mergeCells count="49">
    <mergeCell ref="A30:A32"/>
    <mergeCell ref="B30:E30"/>
    <mergeCell ref="F30:I30"/>
    <mergeCell ref="B31:C31"/>
    <mergeCell ref="D31:E31"/>
    <mergeCell ref="A8:A10"/>
    <mergeCell ref="B8:E8"/>
    <mergeCell ref="F8:I8"/>
    <mergeCell ref="D20:E20"/>
    <mergeCell ref="F20:G20"/>
    <mergeCell ref="H20:I20"/>
    <mergeCell ref="A19:A21"/>
    <mergeCell ref="B19:E19"/>
    <mergeCell ref="F19:I19"/>
    <mergeCell ref="J8:M8"/>
    <mergeCell ref="B9:C9"/>
    <mergeCell ref="D9:E9"/>
    <mergeCell ref="F9:G9"/>
    <mergeCell ref="H9:I9"/>
    <mergeCell ref="J9:K9"/>
    <mergeCell ref="L9:M9"/>
    <mergeCell ref="A1:M1"/>
    <mergeCell ref="A2:M2"/>
    <mergeCell ref="A3:M3"/>
    <mergeCell ref="A5:M5"/>
    <mergeCell ref="A6:M6"/>
    <mergeCell ref="J19:M19"/>
    <mergeCell ref="B20:C20"/>
    <mergeCell ref="J34:K34"/>
    <mergeCell ref="L34:M34"/>
    <mergeCell ref="J38:K38"/>
    <mergeCell ref="L38:M38"/>
    <mergeCell ref="J20:K20"/>
    <mergeCell ref="F31:G31"/>
    <mergeCell ref="H31:I31"/>
    <mergeCell ref="J31:K32"/>
    <mergeCell ref="L31:M32"/>
    <mergeCell ref="J33:K33"/>
    <mergeCell ref="L20:M20"/>
    <mergeCell ref="J30:M30"/>
    <mergeCell ref="L33:M33"/>
    <mergeCell ref="J39:K39"/>
    <mergeCell ref="L39:M39"/>
    <mergeCell ref="J35:K35"/>
    <mergeCell ref="L35:M35"/>
    <mergeCell ref="J36:K36"/>
    <mergeCell ref="L36:M36"/>
    <mergeCell ref="J37:K37"/>
    <mergeCell ref="L37:M37"/>
  </mergeCells>
  <pageMargins left="0.95" right="0.15" top="1.01" bottom="0.75" header="1.19" footer="0.3"/>
  <pageSetup paperSize="9" scale="90"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42"/>
  <sheetViews>
    <sheetView zoomScale="80" zoomScaleNormal="80" workbookViewId="0">
      <selection activeCell="M31" sqref="M31"/>
    </sheetView>
  </sheetViews>
  <sheetFormatPr defaultRowHeight="15" x14ac:dyDescent="0.25"/>
  <cols>
    <col min="1" max="1" width="14.28515625" style="666" customWidth="1"/>
    <col min="2" max="2" width="11.42578125" style="666" customWidth="1"/>
    <col min="3" max="3" width="16.5703125" style="690" customWidth="1"/>
    <col min="4" max="4" width="12" style="690" customWidth="1"/>
    <col min="5" max="5" width="16.5703125" style="690" customWidth="1"/>
    <col min="6" max="6" width="9.5703125" style="666" customWidth="1"/>
    <col min="7" max="7" width="16.5703125" style="666" customWidth="1"/>
    <col min="8" max="8" width="11" style="666" customWidth="1"/>
    <col min="9" max="9" width="15.42578125" style="690" customWidth="1"/>
    <col min="10" max="10" width="11.5703125" style="666" customWidth="1"/>
    <col min="11" max="11" width="14.5703125" style="690" customWidth="1"/>
    <col min="12" max="12" width="11.42578125" style="666" customWidth="1"/>
    <col min="13" max="13" width="17.140625" style="690" customWidth="1"/>
    <col min="14" max="14" width="17.42578125" style="666" customWidth="1"/>
    <col min="15" max="15" width="9.140625" style="666"/>
    <col min="16" max="16" width="18.140625" style="666" customWidth="1"/>
    <col min="17" max="17" width="9.140625" style="666"/>
    <col min="18" max="18" width="15.42578125" style="666" customWidth="1"/>
    <col min="19" max="19" width="9.140625" style="666"/>
    <col min="20" max="20" width="15.42578125" style="666" customWidth="1"/>
    <col min="21" max="16384" width="9.140625" style="666"/>
  </cols>
  <sheetData>
    <row r="1" spans="1:13" x14ac:dyDescent="0.25">
      <c r="A1" s="947" t="s">
        <v>39</v>
      </c>
      <c r="B1" s="947"/>
      <c r="C1" s="947"/>
      <c r="D1" s="947"/>
      <c r="E1" s="947"/>
      <c r="F1" s="947"/>
      <c r="G1" s="947"/>
      <c r="H1" s="947"/>
      <c r="I1" s="947"/>
      <c r="J1" s="947"/>
      <c r="K1" s="947"/>
      <c r="L1" s="947"/>
      <c r="M1" s="947"/>
    </row>
    <row r="2" spans="1:13" x14ac:dyDescent="0.25">
      <c r="A2" s="947" t="s">
        <v>40</v>
      </c>
      <c r="B2" s="947"/>
      <c r="C2" s="947"/>
      <c r="D2" s="947"/>
      <c r="E2" s="947"/>
      <c r="F2" s="947"/>
      <c r="G2" s="947"/>
      <c r="H2" s="947"/>
      <c r="I2" s="947"/>
      <c r="J2" s="947"/>
      <c r="K2" s="947"/>
      <c r="L2" s="947"/>
      <c r="M2" s="947"/>
    </row>
    <row r="3" spans="1:13" x14ac:dyDescent="0.25">
      <c r="A3" s="947" t="s">
        <v>302</v>
      </c>
      <c r="B3" s="947"/>
      <c r="C3" s="947"/>
      <c r="D3" s="947"/>
      <c r="E3" s="947"/>
      <c r="F3" s="947"/>
      <c r="G3" s="947"/>
      <c r="H3" s="947"/>
      <c r="I3" s="947"/>
      <c r="J3" s="947"/>
      <c r="K3" s="947"/>
      <c r="L3" s="947"/>
      <c r="M3" s="947"/>
    </row>
    <row r="5" spans="1:13" ht="15.75" x14ac:dyDescent="0.25">
      <c r="A5" s="960" t="s">
        <v>340</v>
      </c>
      <c r="B5" s="960"/>
      <c r="C5" s="960"/>
      <c r="D5" s="960"/>
      <c r="E5" s="960"/>
      <c r="F5" s="960"/>
      <c r="G5" s="960"/>
      <c r="H5" s="960"/>
      <c r="I5" s="960"/>
      <c r="J5" s="960"/>
      <c r="K5" s="960"/>
      <c r="L5" s="960"/>
      <c r="M5" s="960"/>
    </row>
    <row r="6" spans="1:13" ht="18.75" x14ac:dyDescent="0.25">
      <c r="A6" s="912" t="str">
        <f>Summary2015!A6</f>
        <v>JANUARY TO DECEMBER 2015</v>
      </c>
      <c r="B6" s="912"/>
      <c r="C6" s="912"/>
      <c r="D6" s="912"/>
      <c r="E6" s="912"/>
      <c r="F6" s="912"/>
      <c r="G6" s="912"/>
      <c r="H6" s="912"/>
      <c r="I6" s="912"/>
      <c r="J6" s="912"/>
      <c r="K6" s="912"/>
      <c r="L6" s="912"/>
      <c r="M6" s="912"/>
    </row>
    <row r="7" spans="1:13" s="697" customFormat="1" ht="21" x14ac:dyDescent="0.35">
      <c r="A7" s="706" t="s">
        <v>337</v>
      </c>
      <c r="C7" s="698"/>
      <c r="D7" s="698"/>
      <c r="E7" s="698"/>
      <c r="I7" s="698"/>
      <c r="K7" s="698"/>
      <c r="M7" s="698"/>
    </row>
    <row r="8" spans="1:13" x14ac:dyDescent="0.25">
      <c r="A8" s="949" t="s">
        <v>3</v>
      </c>
      <c r="B8" s="959" t="s">
        <v>304</v>
      </c>
      <c r="C8" s="959"/>
      <c r="D8" s="959"/>
      <c r="E8" s="959"/>
      <c r="F8" s="959"/>
      <c r="G8" s="959"/>
      <c r="H8" s="959"/>
      <c r="I8" s="959"/>
      <c r="J8" s="959"/>
      <c r="K8" s="959"/>
      <c r="L8" s="959"/>
      <c r="M8" s="959"/>
    </row>
    <row r="9" spans="1:13" s="699" customFormat="1" ht="32.25" customHeight="1" x14ac:dyDescent="0.25">
      <c r="A9" s="949"/>
      <c r="B9" s="935" t="s">
        <v>5</v>
      </c>
      <c r="C9" s="936"/>
      <c r="D9" s="936"/>
      <c r="E9" s="937"/>
      <c r="F9" s="935" t="s">
        <v>7</v>
      </c>
      <c r="G9" s="936"/>
      <c r="H9" s="936"/>
      <c r="I9" s="937"/>
      <c r="J9" s="935" t="s">
        <v>306</v>
      </c>
      <c r="K9" s="936"/>
      <c r="L9" s="936"/>
      <c r="M9" s="937"/>
    </row>
    <row r="10" spans="1:13" ht="16.5" customHeight="1" x14ac:dyDescent="0.25">
      <c r="A10" s="949"/>
      <c r="B10" s="938" t="s">
        <v>327</v>
      </c>
      <c r="C10" s="938"/>
      <c r="D10" s="939" t="s">
        <v>333</v>
      </c>
      <c r="E10" s="940"/>
      <c r="F10" s="938" t="s">
        <v>327</v>
      </c>
      <c r="G10" s="938"/>
      <c r="H10" s="939" t="s">
        <v>333</v>
      </c>
      <c r="I10" s="940"/>
      <c r="J10" s="938" t="s">
        <v>327</v>
      </c>
      <c r="K10" s="938"/>
      <c r="L10" s="939" t="s">
        <v>333</v>
      </c>
      <c r="M10" s="940"/>
    </row>
    <row r="11" spans="1:13" s="675" customFormat="1" ht="45" x14ac:dyDescent="0.25">
      <c r="A11" s="949"/>
      <c r="B11" s="695" t="s">
        <v>307</v>
      </c>
      <c r="C11" s="639" t="s">
        <v>60</v>
      </c>
      <c r="D11" s="695" t="s">
        <v>307</v>
      </c>
      <c r="E11" s="674" t="s">
        <v>305</v>
      </c>
      <c r="F11" s="695" t="s">
        <v>308</v>
      </c>
      <c r="G11" s="694" t="s">
        <v>60</v>
      </c>
      <c r="H11" s="695" t="s">
        <v>308</v>
      </c>
      <c r="I11" s="674" t="s">
        <v>305</v>
      </c>
      <c r="J11" s="695" t="s">
        <v>309</v>
      </c>
      <c r="K11" s="639" t="s">
        <v>60</v>
      </c>
      <c r="L11" s="695" t="s">
        <v>309</v>
      </c>
      <c r="M11" s="639" t="s">
        <v>305</v>
      </c>
    </row>
    <row r="12" spans="1:13" x14ac:dyDescent="0.25">
      <c r="A12" s="676" t="s">
        <v>81</v>
      </c>
      <c r="B12" s="677">
        <f t="shared" ref="B12:M12" si="0">SUM(B13:B18)</f>
        <v>7076</v>
      </c>
      <c r="C12" s="678">
        <f t="shared" si="0"/>
        <v>106140000</v>
      </c>
      <c r="D12" s="677">
        <f t="shared" si="0"/>
        <v>8066</v>
      </c>
      <c r="E12" s="679">
        <f t="shared" si="0"/>
        <v>85598200</v>
      </c>
      <c r="F12" s="677">
        <f t="shared" si="0"/>
        <v>1131</v>
      </c>
      <c r="G12" s="678">
        <f t="shared" si="0"/>
        <v>11310000</v>
      </c>
      <c r="H12" s="677">
        <f t="shared" si="0"/>
        <v>412</v>
      </c>
      <c r="I12" s="678">
        <f t="shared" si="0"/>
        <v>2224000</v>
      </c>
      <c r="J12" s="677">
        <f t="shared" si="0"/>
        <v>6000</v>
      </c>
      <c r="K12" s="678">
        <f t="shared" si="0"/>
        <v>9360000</v>
      </c>
      <c r="L12" s="680">
        <f t="shared" si="0"/>
        <v>5154</v>
      </c>
      <c r="M12" s="678">
        <f t="shared" si="0"/>
        <v>9818030</v>
      </c>
    </row>
    <row r="13" spans="1:13" x14ac:dyDescent="0.25">
      <c r="A13" s="695" t="s">
        <v>71</v>
      </c>
      <c r="B13" s="411">
        <f>1216-3</f>
        <v>1213</v>
      </c>
      <c r="C13" s="412">
        <f t="shared" ref="C13:C18" si="1">B13*15000</f>
        <v>18195000</v>
      </c>
      <c r="D13" s="769">
        <v>1312</v>
      </c>
      <c r="E13" s="769">
        <v>14608600</v>
      </c>
      <c r="F13" s="383"/>
      <c r="G13" s="384">
        <f>F13*10000</f>
        <v>0</v>
      </c>
      <c r="H13" s="743">
        <v>20</v>
      </c>
      <c r="I13" s="744">
        <v>100000</v>
      </c>
      <c r="J13" s="729">
        <v>700</v>
      </c>
      <c r="K13" s="686">
        <f>J13*1560</f>
        <v>1092000</v>
      </c>
      <c r="L13" s="681">
        <v>520</v>
      </c>
      <c r="M13" s="682">
        <v>676000</v>
      </c>
    </row>
    <row r="14" spans="1:13" s="675" customFormat="1" ht="33" customHeight="1" x14ac:dyDescent="0.25">
      <c r="A14" s="695" t="s">
        <v>72</v>
      </c>
      <c r="B14" s="411">
        <v>983</v>
      </c>
      <c r="C14" s="412">
        <f t="shared" si="1"/>
        <v>14745000</v>
      </c>
      <c r="D14" s="769">
        <v>1252</v>
      </c>
      <c r="E14" s="769">
        <v>13044600</v>
      </c>
      <c r="F14" s="383">
        <v>571</v>
      </c>
      <c r="G14" s="384">
        <f t="shared" ref="G14:G18" si="2">F14*10000</f>
        <v>5710000</v>
      </c>
      <c r="H14" s="743">
        <v>131</v>
      </c>
      <c r="I14" s="744">
        <v>630000</v>
      </c>
      <c r="J14" s="729">
        <v>1500</v>
      </c>
      <c r="K14" s="686">
        <f t="shared" ref="K14:K18" si="3">J14*1560</f>
        <v>2340000</v>
      </c>
      <c r="L14" s="707">
        <v>2227</v>
      </c>
      <c r="M14" s="708">
        <v>3184610</v>
      </c>
    </row>
    <row r="15" spans="1:13" x14ac:dyDescent="0.25">
      <c r="A15" s="695" t="s">
        <v>73</v>
      </c>
      <c r="B15" s="424">
        <f>1403-34</f>
        <v>1369</v>
      </c>
      <c r="C15" s="412">
        <f t="shared" si="1"/>
        <v>20535000</v>
      </c>
      <c r="D15" s="769">
        <v>1381</v>
      </c>
      <c r="E15" s="769">
        <v>15213900</v>
      </c>
      <c r="F15" s="383"/>
      <c r="G15" s="384">
        <f t="shared" si="2"/>
        <v>0</v>
      </c>
      <c r="H15" s="743">
        <v>47</v>
      </c>
      <c r="I15" s="744">
        <v>235000</v>
      </c>
      <c r="J15" s="729"/>
      <c r="K15" s="686">
        <f t="shared" si="3"/>
        <v>0</v>
      </c>
      <c r="L15" s="681"/>
      <c r="M15" s="682"/>
    </row>
    <row r="16" spans="1:13" x14ac:dyDescent="0.25">
      <c r="A16" s="695" t="s">
        <v>74</v>
      </c>
      <c r="B16" s="424">
        <f>1453-1</f>
        <v>1452</v>
      </c>
      <c r="C16" s="412">
        <f t="shared" si="1"/>
        <v>21780000</v>
      </c>
      <c r="D16" s="769">
        <v>1590</v>
      </c>
      <c r="E16" s="769">
        <v>16667400</v>
      </c>
      <c r="F16" s="383">
        <v>560</v>
      </c>
      <c r="G16" s="384">
        <f t="shared" si="2"/>
        <v>5600000</v>
      </c>
      <c r="H16" s="743">
        <v>21</v>
      </c>
      <c r="I16" s="744">
        <v>105000</v>
      </c>
      <c r="J16" s="729">
        <v>1800</v>
      </c>
      <c r="K16" s="686">
        <f t="shared" si="3"/>
        <v>2808000</v>
      </c>
      <c r="L16" s="681">
        <v>633</v>
      </c>
      <c r="M16" s="682">
        <v>2644200</v>
      </c>
    </row>
    <row r="17" spans="1:13" x14ac:dyDescent="0.25">
      <c r="A17" s="695" t="s">
        <v>75</v>
      </c>
      <c r="B17" s="424">
        <f>1302-7</f>
        <v>1295</v>
      </c>
      <c r="C17" s="412">
        <f t="shared" si="1"/>
        <v>19425000</v>
      </c>
      <c r="D17" s="769">
        <v>1620</v>
      </c>
      <c r="E17" s="769">
        <v>16687200</v>
      </c>
      <c r="F17" s="383"/>
      <c r="G17" s="384">
        <f t="shared" si="2"/>
        <v>0</v>
      </c>
      <c r="H17" s="743">
        <v>83</v>
      </c>
      <c r="I17" s="744">
        <v>498000</v>
      </c>
      <c r="J17" s="729">
        <v>1100</v>
      </c>
      <c r="K17" s="686">
        <f t="shared" si="3"/>
        <v>1716000</v>
      </c>
      <c r="L17" s="681">
        <v>1074</v>
      </c>
      <c r="M17" s="682">
        <v>2448720</v>
      </c>
    </row>
    <row r="18" spans="1:13" x14ac:dyDescent="0.25">
      <c r="A18" s="695" t="s">
        <v>76</v>
      </c>
      <c r="B18" s="424">
        <v>764</v>
      </c>
      <c r="C18" s="412">
        <f t="shared" si="1"/>
        <v>11460000</v>
      </c>
      <c r="D18" s="769">
        <v>911</v>
      </c>
      <c r="E18" s="769">
        <v>9376500</v>
      </c>
      <c r="F18" s="383"/>
      <c r="G18" s="384">
        <f t="shared" si="2"/>
        <v>0</v>
      </c>
      <c r="H18" s="745">
        <v>110</v>
      </c>
      <c r="I18" s="746">
        <v>656000</v>
      </c>
      <c r="J18" s="729">
        <v>900</v>
      </c>
      <c r="K18" s="686">
        <f t="shared" si="3"/>
        <v>1404000</v>
      </c>
      <c r="L18" s="681">
        <v>700</v>
      </c>
      <c r="M18" s="682">
        <v>864500</v>
      </c>
    </row>
    <row r="20" spans="1:13" x14ac:dyDescent="0.25">
      <c r="A20" s="955" t="s">
        <v>303</v>
      </c>
      <c r="B20" s="959" t="s">
        <v>304</v>
      </c>
      <c r="C20" s="959"/>
      <c r="D20" s="959"/>
      <c r="E20" s="959"/>
      <c r="F20" s="959"/>
      <c r="G20" s="959"/>
      <c r="H20" s="959"/>
      <c r="I20" s="959"/>
      <c r="J20" s="959"/>
      <c r="K20" s="959"/>
      <c r="L20" s="959"/>
      <c r="M20" s="959"/>
    </row>
    <row r="21" spans="1:13" s="699" customFormat="1" ht="15" customHeight="1" x14ac:dyDescent="0.25">
      <c r="A21" s="956"/>
      <c r="B21" s="935" t="s">
        <v>16</v>
      </c>
      <c r="C21" s="936"/>
      <c r="D21" s="936"/>
      <c r="E21" s="937"/>
      <c r="F21" s="935" t="s">
        <v>421</v>
      </c>
      <c r="G21" s="936"/>
      <c r="H21" s="936"/>
      <c r="I21" s="937"/>
      <c r="J21" s="935" t="s">
        <v>329</v>
      </c>
      <c r="K21" s="936"/>
      <c r="L21" s="936"/>
      <c r="M21" s="937"/>
    </row>
    <row r="22" spans="1:13" ht="16.5" customHeight="1" x14ac:dyDescent="0.25">
      <c r="A22" s="956"/>
      <c r="B22" s="938" t="s">
        <v>327</v>
      </c>
      <c r="C22" s="938"/>
      <c r="D22" s="939" t="s">
        <v>333</v>
      </c>
      <c r="E22" s="940"/>
      <c r="F22" s="938" t="s">
        <v>327</v>
      </c>
      <c r="G22" s="938"/>
      <c r="H22" s="939" t="s">
        <v>333</v>
      </c>
      <c r="I22" s="940"/>
      <c r="J22" s="938" t="s">
        <v>327</v>
      </c>
      <c r="K22" s="938"/>
      <c r="L22" s="939" t="s">
        <v>333</v>
      </c>
      <c r="M22" s="940"/>
    </row>
    <row r="23" spans="1:13" ht="45" customHeight="1" x14ac:dyDescent="0.25">
      <c r="A23" s="957"/>
      <c r="B23" s="695" t="s">
        <v>330</v>
      </c>
      <c r="C23" s="639" t="s">
        <v>60</v>
      </c>
      <c r="D23" s="695" t="s">
        <v>330</v>
      </c>
      <c r="E23" s="674" t="s">
        <v>305</v>
      </c>
      <c r="F23" s="695" t="s">
        <v>253</v>
      </c>
      <c r="G23" s="639" t="s">
        <v>60</v>
      </c>
      <c r="H23" s="723" t="s">
        <v>253</v>
      </c>
      <c r="I23" s="674" t="s">
        <v>305</v>
      </c>
      <c r="J23" s="695" t="s">
        <v>308</v>
      </c>
      <c r="K23" s="639" t="s">
        <v>60</v>
      </c>
      <c r="L23" s="695" t="s">
        <v>332</v>
      </c>
      <c r="M23" s="639" t="s">
        <v>305</v>
      </c>
    </row>
    <row r="24" spans="1:13" x14ac:dyDescent="0.25">
      <c r="A24" s="676" t="s">
        <v>81</v>
      </c>
      <c r="B24" s="677">
        <f>SUM(B25:B30)</f>
        <v>1869</v>
      </c>
      <c r="C24" s="678">
        <f>SUM(C25:C30)</f>
        <v>11214000</v>
      </c>
      <c r="D24" s="677">
        <f>SUM(D25:D30)</f>
        <v>2559</v>
      </c>
      <c r="E24" s="678">
        <f>SUM(E25:E30)</f>
        <v>15354000</v>
      </c>
      <c r="F24" s="677">
        <f t="shared" ref="F24:M24" si="4">SUM(F25:F30)</f>
        <v>15</v>
      </c>
      <c r="G24" s="678">
        <f t="shared" si="4"/>
        <v>15473231</v>
      </c>
      <c r="H24" s="680">
        <f t="shared" si="4"/>
        <v>0</v>
      </c>
      <c r="I24" s="678">
        <f t="shared" si="4"/>
        <v>0</v>
      </c>
      <c r="J24" s="677">
        <f t="shared" si="4"/>
        <v>0</v>
      </c>
      <c r="K24" s="678">
        <f t="shared" si="4"/>
        <v>0</v>
      </c>
      <c r="L24" s="677">
        <f t="shared" si="4"/>
        <v>1855</v>
      </c>
      <c r="M24" s="678">
        <f t="shared" si="4"/>
        <v>7514000</v>
      </c>
    </row>
    <row r="25" spans="1:13" x14ac:dyDescent="0.25">
      <c r="A25" s="695" t="s">
        <v>71</v>
      </c>
      <c r="B25" s="733">
        <v>310</v>
      </c>
      <c r="C25" s="686">
        <f t="shared" ref="C25:C30" si="5">B25*500*12</f>
        <v>1860000</v>
      </c>
      <c r="D25" s="683">
        <v>466</v>
      </c>
      <c r="E25" s="684">
        <f>D25*6000</f>
        <v>2796000</v>
      </c>
      <c r="F25" s="383">
        <f>5+1</f>
        <v>6</v>
      </c>
      <c r="G25" s="384">
        <f>1404330.02+438853.13+453774.14+575775.31+301930.95+438853.13</f>
        <v>3613516.68</v>
      </c>
      <c r="H25" s="681"/>
      <c r="I25" s="682"/>
      <c r="J25" s="695"/>
      <c r="K25" s="674"/>
      <c r="L25" s="739">
        <v>33</v>
      </c>
      <c r="M25" s="740">
        <v>142000</v>
      </c>
    </row>
    <row r="26" spans="1:13" s="675" customFormat="1" ht="28.5" customHeight="1" x14ac:dyDescent="0.25">
      <c r="A26" s="695" t="s">
        <v>72</v>
      </c>
      <c r="B26" s="733">
        <v>300</v>
      </c>
      <c r="C26" s="686">
        <f t="shared" si="5"/>
        <v>1800000</v>
      </c>
      <c r="D26" s="709">
        <v>455</v>
      </c>
      <c r="E26" s="684">
        <f t="shared" ref="E26:E30" si="6">D26*6000</f>
        <v>2730000</v>
      </c>
      <c r="F26" s="383"/>
      <c r="G26" s="384"/>
      <c r="H26" s="707"/>
      <c r="I26" s="708"/>
      <c r="J26" s="695"/>
      <c r="K26" s="674"/>
      <c r="L26" s="739">
        <v>995</v>
      </c>
      <c r="M26" s="740">
        <v>4233000</v>
      </c>
    </row>
    <row r="27" spans="1:13" x14ac:dyDescent="0.25">
      <c r="A27" s="695" t="s">
        <v>73</v>
      </c>
      <c r="B27" s="733">
        <v>305</v>
      </c>
      <c r="C27" s="686">
        <f t="shared" si="5"/>
        <v>1830000</v>
      </c>
      <c r="D27" s="683">
        <v>293</v>
      </c>
      <c r="E27" s="684">
        <f t="shared" si="6"/>
        <v>1758000</v>
      </c>
      <c r="F27" s="383">
        <v>1</v>
      </c>
      <c r="G27" s="384">
        <f>535714.32</f>
        <v>535714.31999999995</v>
      </c>
      <c r="H27" s="681"/>
      <c r="I27" s="682"/>
      <c r="J27" s="695"/>
      <c r="K27" s="674"/>
      <c r="L27" s="739">
        <v>158</v>
      </c>
      <c r="M27" s="740">
        <v>542500</v>
      </c>
    </row>
    <row r="28" spans="1:13" x14ac:dyDescent="0.25">
      <c r="A28" s="695" t="s">
        <v>74</v>
      </c>
      <c r="B28" s="733">
        <v>346</v>
      </c>
      <c r="C28" s="686">
        <f t="shared" si="5"/>
        <v>2076000</v>
      </c>
      <c r="D28" s="683">
        <v>428</v>
      </c>
      <c r="E28" s="684">
        <f t="shared" si="6"/>
        <v>2568000</v>
      </c>
      <c r="F28" s="383">
        <v>3</v>
      </c>
      <c r="G28" s="384">
        <v>4924000</v>
      </c>
      <c r="H28" s="681"/>
      <c r="I28" s="682"/>
      <c r="J28" s="695"/>
      <c r="K28" s="674"/>
      <c r="L28" s="739">
        <v>305</v>
      </c>
      <c r="M28" s="740">
        <v>1109500</v>
      </c>
    </row>
    <row r="29" spans="1:13" x14ac:dyDescent="0.25">
      <c r="A29" s="695" t="s">
        <v>75</v>
      </c>
      <c r="B29" s="733">
        <v>308</v>
      </c>
      <c r="C29" s="686">
        <f t="shared" si="5"/>
        <v>1848000</v>
      </c>
      <c r="D29" s="683">
        <v>380</v>
      </c>
      <c r="E29" s="684">
        <f t="shared" si="6"/>
        <v>2280000</v>
      </c>
      <c r="F29" s="383">
        <v>2</v>
      </c>
      <c r="G29" s="384">
        <v>3400000</v>
      </c>
      <c r="H29" s="681"/>
      <c r="I29" s="682"/>
      <c r="J29" s="695"/>
      <c r="K29" s="674"/>
      <c r="L29" s="739">
        <v>175</v>
      </c>
      <c r="M29" s="740">
        <v>719000</v>
      </c>
    </row>
    <row r="30" spans="1:13" x14ac:dyDescent="0.25">
      <c r="A30" s="695" t="s">
        <v>76</v>
      </c>
      <c r="B30" s="733">
        <v>300</v>
      </c>
      <c r="C30" s="686">
        <f t="shared" si="5"/>
        <v>1800000</v>
      </c>
      <c r="D30" s="683">
        <v>537</v>
      </c>
      <c r="E30" s="684">
        <f t="shared" si="6"/>
        <v>3222000</v>
      </c>
      <c r="F30" s="383">
        <f>3</f>
        <v>3</v>
      </c>
      <c r="G30" s="384">
        <f>700000+2000000+300000</f>
        <v>3000000</v>
      </c>
      <c r="H30" s="681"/>
      <c r="I30" s="682"/>
      <c r="J30" s="695"/>
      <c r="K30" s="674"/>
      <c r="L30" s="739">
        <v>189</v>
      </c>
      <c r="M30" s="740">
        <v>768000</v>
      </c>
    </row>
    <row r="32" spans="1:13" x14ac:dyDescent="0.25">
      <c r="A32" s="955" t="s">
        <v>303</v>
      </c>
      <c r="B32" s="963" t="s">
        <v>304</v>
      </c>
      <c r="C32" s="964"/>
      <c r="D32" s="964"/>
      <c r="E32" s="965"/>
      <c r="F32" s="938" t="s">
        <v>374</v>
      </c>
      <c r="G32" s="938"/>
      <c r="H32" s="938"/>
      <c r="I32" s="938"/>
      <c r="J32" s="710"/>
      <c r="K32" s="710"/>
      <c r="L32" s="710"/>
      <c r="M32" s="710"/>
    </row>
    <row r="33" spans="1:13" ht="15" customHeight="1" x14ac:dyDescent="0.25">
      <c r="A33" s="956"/>
      <c r="B33" s="935" t="s">
        <v>331</v>
      </c>
      <c r="C33" s="936"/>
      <c r="D33" s="936"/>
      <c r="E33" s="937"/>
      <c r="F33" s="938"/>
      <c r="G33" s="938"/>
      <c r="H33" s="938"/>
      <c r="I33" s="938"/>
      <c r="J33" s="958"/>
      <c r="K33" s="958"/>
      <c r="L33" s="958"/>
      <c r="M33" s="958"/>
    </row>
    <row r="34" spans="1:13" ht="13.5" customHeight="1" x14ac:dyDescent="0.25">
      <c r="A34" s="956"/>
      <c r="B34" s="938" t="s">
        <v>327</v>
      </c>
      <c r="C34" s="938"/>
      <c r="D34" s="939" t="s">
        <v>333</v>
      </c>
      <c r="E34" s="940"/>
      <c r="F34" s="938" t="s">
        <v>60</v>
      </c>
      <c r="G34" s="938"/>
      <c r="H34" s="938" t="s">
        <v>305</v>
      </c>
      <c r="I34" s="938"/>
      <c r="J34" s="958"/>
      <c r="K34" s="958"/>
      <c r="L34" s="958"/>
      <c r="M34" s="958"/>
    </row>
    <row r="35" spans="1:13" ht="32.25" customHeight="1" x14ac:dyDescent="0.25">
      <c r="A35" s="957"/>
      <c r="B35" s="723" t="s">
        <v>308</v>
      </c>
      <c r="C35" s="639" t="s">
        <v>60</v>
      </c>
      <c r="D35" s="723" t="s">
        <v>332</v>
      </c>
      <c r="E35" s="639" t="s">
        <v>305</v>
      </c>
      <c r="F35" s="938"/>
      <c r="G35" s="938"/>
      <c r="H35" s="938"/>
      <c r="I35" s="938"/>
      <c r="J35" s="958"/>
      <c r="K35" s="958"/>
      <c r="L35" s="958"/>
      <c r="M35" s="958"/>
    </row>
    <row r="36" spans="1:13" x14ac:dyDescent="0.25">
      <c r="A36" s="676" t="s">
        <v>81</v>
      </c>
      <c r="B36" s="677">
        <f t="shared" ref="B36:E36" si="7">SUM(B37:B42)</f>
        <v>0</v>
      </c>
      <c r="C36" s="678">
        <f t="shared" si="7"/>
        <v>0</v>
      </c>
      <c r="D36" s="677">
        <f t="shared" si="7"/>
        <v>0</v>
      </c>
      <c r="E36" s="678">
        <f t="shared" si="7"/>
        <v>0</v>
      </c>
      <c r="F36" s="962">
        <f>SUM(F37:F42)</f>
        <v>153497231</v>
      </c>
      <c r="G36" s="962"/>
      <c r="H36" s="962">
        <f>SUM(H37:I42)</f>
        <v>120508230</v>
      </c>
      <c r="I36" s="962"/>
      <c r="J36" s="954"/>
      <c r="K36" s="954"/>
      <c r="L36" s="954"/>
      <c r="M36" s="954"/>
    </row>
    <row r="37" spans="1:13" x14ac:dyDescent="0.25">
      <c r="A37" s="695" t="s">
        <v>71</v>
      </c>
      <c r="B37" s="723"/>
      <c r="C37" s="674"/>
      <c r="D37" s="705"/>
      <c r="E37" s="723"/>
      <c r="F37" s="961">
        <f t="shared" ref="F37:F42" si="8">C13+G13+K13+C25+G25+K25</f>
        <v>24760516.68</v>
      </c>
      <c r="G37" s="961"/>
      <c r="H37" s="961">
        <f t="shared" ref="H37:H42" si="9">E13+I13+M13+E25+I25+M25</f>
        <v>18322600</v>
      </c>
      <c r="I37" s="961"/>
      <c r="J37" s="953"/>
      <c r="K37" s="953"/>
      <c r="L37" s="953"/>
      <c r="M37" s="953"/>
    </row>
    <row r="38" spans="1:13" x14ac:dyDescent="0.25">
      <c r="A38" s="695" t="s">
        <v>72</v>
      </c>
      <c r="B38" s="723"/>
      <c r="C38" s="674"/>
      <c r="D38" s="723"/>
      <c r="E38" s="674"/>
      <c r="F38" s="961">
        <f t="shared" si="8"/>
        <v>24595000</v>
      </c>
      <c r="G38" s="961"/>
      <c r="H38" s="961">
        <f t="shared" si="9"/>
        <v>23822210</v>
      </c>
      <c r="I38" s="961"/>
      <c r="J38" s="953"/>
      <c r="K38" s="953"/>
      <c r="L38" s="953"/>
      <c r="M38" s="953"/>
    </row>
    <row r="39" spans="1:13" x14ac:dyDescent="0.25">
      <c r="A39" s="695" t="s">
        <v>73</v>
      </c>
      <c r="B39" s="723"/>
      <c r="C39" s="674"/>
      <c r="D39" s="688"/>
      <c r="E39" s="674"/>
      <c r="F39" s="961">
        <f t="shared" si="8"/>
        <v>22900714.32</v>
      </c>
      <c r="G39" s="961"/>
      <c r="H39" s="961">
        <f t="shared" si="9"/>
        <v>17749400</v>
      </c>
      <c r="I39" s="961"/>
      <c r="J39" s="953"/>
      <c r="K39" s="953"/>
      <c r="L39" s="953"/>
      <c r="M39" s="953"/>
    </row>
    <row r="40" spans="1:13" x14ac:dyDescent="0.25">
      <c r="A40" s="695" t="s">
        <v>74</v>
      </c>
      <c r="B40" s="723"/>
      <c r="C40" s="674"/>
      <c r="D40" s="688"/>
      <c r="E40" s="674"/>
      <c r="F40" s="961">
        <f t="shared" si="8"/>
        <v>37188000</v>
      </c>
      <c r="G40" s="961"/>
      <c r="H40" s="961">
        <f t="shared" si="9"/>
        <v>23094100</v>
      </c>
      <c r="I40" s="961"/>
      <c r="J40" s="953"/>
      <c r="K40" s="953"/>
      <c r="L40" s="953"/>
      <c r="M40" s="953"/>
    </row>
    <row r="41" spans="1:13" x14ac:dyDescent="0.25">
      <c r="A41" s="695" t="s">
        <v>75</v>
      </c>
      <c r="B41" s="723"/>
      <c r="C41" s="674"/>
      <c r="D41" s="705"/>
      <c r="E41" s="674"/>
      <c r="F41" s="961">
        <f t="shared" si="8"/>
        <v>26389000</v>
      </c>
      <c r="G41" s="961"/>
      <c r="H41" s="961">
        <f t="shared" si="9"/>
        <v>22632920</v>
      </c>
      <c r="I41" s="961"/>
      <c r="J41" s="953"/>
      <c r="K41" s="953"/>
      <c r="L41" s="953"/>
      <c r="M41" s="953"/>
    </row>
    <row r="42" spans="1:13" x14ac:dyDescent="0.25">
      <c r="A42" s="695" t="s">
        <v>76</v>
      </c>
      <c r="B42" s="723"/>
      <c r="C42" s="674"/>
      <c r="D42" s="705"/>
      <c r="E42" s="723"/>
      <c r="F42" s="961">
        <f t="shared" si="8"/>
        <v>17664000</v>
      </c>
      <c r="G42" s="961"/>
      <c r="H42" s="961">
        <f t="shared" si="9"/>
        <v>14887000</v>
      </c>
      <c r="I42" s="961"/>
      <c r="J42" s="953"/>
      <c r="K42" s="953"/>
      <c r="L42" s="953"/>
      <c r="M42" s="953"/>
    </row>
  </sheetData>
  <mergeCells count="66">
    <mergeCell ref="B34:C34"/>
    <mergeCell ref="D34:E34"/>
    <mergeCell ref="B32:E32"/>
    <mergeCell ref="F41:G41"/>
    <mergeCell ref="H41:I41"/>
    <mergeCell ref="F42:G42"/>
    <mergeCell ref="H42:I42"/>
    <mergeCell ref="F32:I33"/>
    <mergeCell ref="F34:G35"/>
    <mergeCell ref="H34:I35"/>
    <mergeCell ref="F36:G36"/>
    <mergeCell ref="H36:I36"/>
    <mergeCell ref="F37:G37"/>
    <mergeCell ref="H37:I37"/>
    <mergeCell ref="F38:G38"/>
    <mergeCell ref="H38:I38"/>
    <mergeCell ref="F39:G39"/>
    <mergeCell ref="H39:I39"/>
    <mergeCell ref="F40:G40"/>
    <mergeCell ref="H40:I40"/>
    <mergeCell ref="L10:M10"/>
    <mergeCell ref="A1:M1"/>
    <mergeCell ref="A2:M2"/>
    <mergeCell ref="A3:M3"/>
    <mergeCell ref="A5:M5"/>
    <mergeCell ref="A6:M6"/>
    <mergeCell ref="A8:A11"/>
    <mergeCell ref="B8:M8"/>
    <mergeCell ref="B9:E9"/>
    <mergeCell ref="F9:I9"/>
    <mergeCell ref="J9:M9"/>
    <mergeCell ref="B10:C10"/>
    <mergeCell ref="D10:E10"/>
    <mergeCell ref="F10:G10"/>
    <mergeCell ref="H10:I10"/>
    <mergeCell ref="J10:K10"/>
    <mergeCell ref="L22:M22"/>
    <mergeCell ref="A32:A35"/>
    <mergeCell ref="J33:M33"/>
    <mergeCell ref="A20:A23"/>
    <mergeCell ref="B20:M20"/>
    <mergeCell ref="B21:E21"/>
    <mergeCell ref="F21:I21"/>
    <mergeCell ref="J21:M21"/>
    <mergeCell ref="B22:C22"/>
    <mergeCell ref="J34:K35"/>
    <mergeCell ref="L34:M35"/>
    <mergeCell ref="D22:E22"/>
    <mergeCell ref="F22:G22"/>
    <mergeCell ref="H22:I22"/>
    <mergeCell ref="J22:K22"/>
    <mergeCell ref="B33:E33"/>
    <mergeCell ref="J36:K36"/>
    <mergeCell ref="L36:M36"/>
    <mergeCell ref="J37:K37"/>
    <mergeCell ref="L37:M37"/>
    <mergeCell ref="J41:K41"/>
    <mergeCell ref="L41:M41"/>
    <mergeCell ref="J42:K42"/>
    <mergeCell ref="L42:M42"/>
    <mergeCell ref="J38:K38"/>
    <mergeCell ref="L38:M38"/>
    <mergeCell ref="J39:K39"/>
    <mergeCell ref="L39:M39"/>
    <mergeCell ref="J40:K40"/>
    <mergeCell ref="L40:M40"/>
  </mergeCells>
  <pageMargins left="1.19" right="0.15748031496063" top="0.84" bottom="0.31496062992126" header="0.23622047244094499" footer="0.31496062992126"/>
  <pageSetup paperSize="9" scale="85"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366"/>
  <sheetViews>
    <sheetView view="pageBreakPreview" topLeftCell="C207" zoomScale="90" zoomScaleNormal="90" zoomScaleSheetLayoutView="90" workbookViewId="0">
      <selection activeCell="K37" sqref="K37"/>
    </sheetView>
  </sheetViews>
  <sheetFormatPr defaultRowHeight="15" x14ac:dyDescent="0.25"/>
  <cols>
    <col min="1" max="1" width="30.85546875" customWidth="1"/>
    <col min="2" max="2" width="42" customWidth="1"/>
    <col min="3" max="3" width="13.42578125" customWidth="1"/>
    <col min="4" max="4" width="20.28515625" customWidth="1"/>
    <col min="5" max="5" width="10.85546875" customWidth="1"/>
    <col min="6" max="6" width="16.42578125" style="97" customWidth="1"/>
    <col min="7" max="7" width="11.140625" customWidth="1"/>
    <col min="8" max="8" width="19.5703125" style="97" customWidth="1"/>
    <col min="9" max="9" width="11.140625" customWidth="1"/>
    <col min="10" max="10" width="19.5703125" customWidth="1"/>
  </cols>
  <sheetData>
    <row r="1" spans="1:10" x14ac:dyDescent="0.25">
      <c r="A1" s="858" t="s">
        <v>39</v>
      </c>
      <c r="B1" s="858"/>
      <c r="C1" s="858"/>
      <c r="D1" s="858"/>
      <c r="E1" s="858"/>
      <c r="F1" s="858"/>
      <c r="G1" s="858"/>
      <c r="H1" s="858"/>
      <c r="I1" s="858"/>
      <c r="J1" s="858"/>
    </row>
    <row r="2" spans="1:10" x14ac:dyDescent="0.25">
      <c r="A2" s="858" t="s">
        <v>40</v>
      </c>
      <c r="B2" s="858"/>
      <c r="C2" s="858"/>
      <c r="D2" s="858"/>
      <c r="E2" s="858"/>
      <c r="F2" s="858"/>
      <c r="G2" s="858"/>
      <c r="H2" s="858"/>
      <c r="I2" s="858"/>
      <c r="J2" s="858"/>
    </row>
    <row r="3" spans="1:10" x14ac:dyDescent="0.25">
      <c r="A3" s="415"/>
      <c r="B3" s="415"/>
      <c r="C3" s="415"/>
      <c r="D3" s="415"/>
      <c r="E3" s="415"/>
      <c r="F3" s="415"/>
      <c r="G3" s="415"/>
      <c r="H3" s="415"/>
      <c r="I3" s="415"/>
      <c r="J3" s="415"/>
    </row>
    <row r="4" spans="1:10" s="414" customFormat="1" ht="21" x14ac:dyDescent="0.35">
      <c r="A4" s="866" t="s">
        <v>323</v>
      </c>
      <c r="B4" s="866"/>
      <c r="C4" s="866"/>
      <c r="D4" s="866"/>
      <c r="E4" s="866"/>
      <c r="F4" s="866"/>
      <c r="G4" s="866"/>
      <c r="H4" s="866"/>
      <c r="I4" s="866"/>
      <c r="J4" s="866"/>
    </row>
    <row r="5" spans="1:10" s="48" customFormat="1" x14ac:dyDescent="0.25"/>
    <row r="6" spans="1:10" s="48" customFormat="1" x14ac:dyDescent="0.25">
      <c r="F6" s="91"/>
      <c r="H6" s="91"/>
    </row>
    <row r="7" spans="1:10" s="3" customFormat="1" ht="27.75" customHeight="1" x14ac:dyDescent="0.25">
      <c r="A7" s="859" t="s">
        <v>0</v>
      </c>
      <c r="B7" s="860" t="s">
        <v>51</v>
      </c>
      <c r="C7" s="859" t="s">
        <v>4</v>
      </c>
      <c r="D7" s="862" t="s">
        <v>3</v>
      </c>
      <c r="E7" s="864" t="s">
        <v>324</v>
      </c>
      <c r="F7" s="865"/>
      <c r="G7" s="864" t="s">
        <v>315</v>
      </c>
      <c r="H7" s="865"/>
      <c r="I7" s="919" t="s">
        <v>325</v>
      </c>
      <c r="J7" s="920"/>
    </row>
    <row r="8" spans="1:10" s="3" customFormat="1" ht="21" customHeight="1" x14ac:dyDescent="0.25">
      <c r="A8" s="860"/>
      <c r="B8" s="925"/>
      <c r="C8" s="860"/>
      <c r="D8" s="922"/>
      <c r="E8" s="400" t="s">
        <v>48</v>
      </c>
      <c r="F8" s="398" t="s">
        <v>1</v>
      </c>
      <c r="G8" s="400" t="s">
        <v>48</v>
      </c>
      <c r="H8" s="441" t="s">
        <v>60</v>
      </c>
      <c r="I8" s="400" t="s">
        <v>48</v>
      </c>
      <c r="J8" s="400" t="s">
        <v>60</v>
      </c>
    </row>
    <row r="9" spans="1:10" s="12" customFormat="1" ht="20.25" customHeight="1" x14ac:dyDescent="0.25">
      <c r="A9" s="10" t="s">
        <v>14</v>
      </c>
      <c r="B9" s="10"/>
      <c r="C9" s="11"/>
      <c r="D9" s="11"/>
      <c r="E9" s="14"/>
      <c r="F9" s="139">
        <f>F11+F42+F73+F104+F135+F166+F197+F267+F298</f>
        <v>704684292.82000005</v>
      </c>
      <c r="G9" s="11"/>
      <c r="H9" s="139">
        <f>H11+H42+H73+H104+H135+H166+H197+H267+H298</f>
        <v>1078010040</v>
      </c>
      <c r="I9" s="11"/>
      <c r="J9" s="139">
        <f>J11+J42+J73+J104+J135+J166+J197+J267+J298</f>
        <v>245335720</v>
      </c>
    </row>
    <row r="10" spans="1:10" s="8" customFormat="1" ht="8.25" customHeight="1" x14ac:dyDescent="0.25">
      <c r="A10" s="7"/>
      <c r="B10" s="7"/>
      <c r="C10" s="7"/>
      <c r="D10" s="7"/>
      <c r="E10" s="7"/>
      <c r="F10" s="93"/>
      <c r="G10" s="7"/>
      <c r="H10" s="93"/>
      <c r="I10" s="7"/>
      <c r="J10" s="7"/>
    </row>
    <row r="11" spans="1:10" s="3" customFormat="1" ht="19.5" customHeight="1" x14ac:dyDescent="0.25">
      <c r="A11" s="926" t="s">
        <v>5</v>
      </c>
      <c r="B11" s="831" t="s">
        <v>50</v>
      </c>
      <c r="C11" s="967" t="s">
        <v>21</v>
      </c>
      <c r="D11" s="132" t="s">
        <v>81</v>
      </c>
      <c r="E11" s="132">
        <f t="shared" ref="E11:J11" si="0">E12+E19+E27+E34+E39</f>
        <v>61434</v>
      </c>
      <c r="F11" s="133">
        <f t="shared" si="0"/>
        <v>607481500</v>
      </c>
      <c r="G11" s="70">
        <f t="shared" si="0"/>
        <v>62945</v>
      </c>
      <c r="H11" s="84">
        <f t="shared" si="0"/>
        <v>944175000</v>
      </c>
      <c r="I11" s="70">
        <f t="shared" si="0"/>
        <v>60363</v>
      </c>
      <c r="J11" s="84">
        <f t="shared" si="0"/>
        <v>241319400</v>
      </c>
    </row>
    <row r="12" spans="1:10" s="3" customFormat="1" ht="21.75" customHeight="1" x14ac:dyDescent="0.25">
      <c r="A12" s="927"/>
      <c r="B12" s="832"/>
      <c r="C12" s="968"/>
      <c r="D12" s="70" t="s">
        <v>79</v>
      </c>
      <c r="E12" s="70">
        <f t="shared" ref="E12:J12" si="1">SUM(E13:E18)</f>
        <v>11737</v>
      </c>
      <c r="F12" s="84">
        <f t="shared" si="1"/>
        <v>119621500</v>
      </c>
      <c r="G12" s="70">
        <f t="shared" si="1"/>
        <v>12107</v>
      </c>
      <c r="H12" s="84">
        <f t="shared" si="1"/>
        <v>181605000</v>
      </c>
      <c r="I12" s="70">
        <f t="shared" si="1"/>
        <v>11602</v>
      </c>
      <c r="J12" s="71">
        <f t="shared" si="1"/>
        <v>46010300</v>
      </c>
    </row>
    <row r="13" spans="1:10" s="2" customFormat="1" ht="14.25" customHeight="1" x14ac:dyDescent="0.25">
      <c r="A13" s="18"/>
      <c r="B13" s="832"/>
      <c r="C13" s="4"/>
      <c r="D13" s="83" t="s">
        <v>91</v>
      </c>
      <c r="E13" s="424">
        <v>1535</v>
      </c>
      <c r="F13" s="439">
        <v>15729900</v>
      </c>
      <c r="G13" s="426">
        <v>1580</v>
      </c>
      <c r="H13" s="100">
        <f t="shared" ref="H13:H18" si="2">G13*15000</f>
        <v>23700000</v>
      </c>
      <c r="I13" s="426">
        <v>1521</v>
      </c>
      <c r="J13" s="442">
        <f>'[1]updated may 7_FMS'!I36</f>
        <v>5947800</v>
      </c>
    </row>
    <row r="14" spans="1:10" s="2" customFormat="1" ht="14.25" customHeight="1" x14ac:dyDescent="0.25">
      <c r="A14" s="972"/>
      <c r="B14" s="832"/>
      <c r="C14" s="4"/>
      <c r="D14" s="83" t="s">
        <v>92</v>
      </c>
      <c r="E14" s="424">
        <v>1739</v>
      </c>
      <c r="F14" s="439">
        <v>17536400</v>
      </c>
      <c r="G14" s="426">
        <v>1805</v>
      </c>
      <c r="H14" s="100">
        <f t="shared" si="2"/>
        <v>27075000</v>
      </c>
      <c r="I14" s="426">
        <v>1744</v>
      </c>
      <c r="J14" s="442">
        <f>'[1]updated may 7_FMS'!I37</f>
        <v>7361200</v>
      </c>
    </row>
    <row r="15" spans="1:10" s="2" customFormat="1" ht="14.25" customHeight="1" x14ac:dyDescent="0.25">
      <c r="A15" s="918"/>
      <c r="B15" s="832"/>
      <c r="C15" s="4"/>
      <c r="D15" s="83" t="s">
        <v>93</v>
      </c>
      <c r="E15" s="424">
        <v>2395</v>
      </c>
      <c r="F15" s="439">
        <v>25805400</v>
      </c>
      <c r="G15" s="426">
        <v>2491</v>
      </c>
      <c r="H15" s="100">
        <f t="shared" si="2"/>
        <v>37365000</v>
      </c>
      <c r="I15" s="426">
        <v>2887</v>
      </c>
      <c r="J15" s="442">
        <f>'[1]updated may 7_FMS'!I38</f>
        <v>11050600</v>
      </c>
    </row>
    <row r="16" spans="1:10" s="2" customFormat="1" ht="14.25" customHeight="1" x14ac:dyDescent="0.25">
      <c r="A16" s="918"/>
      <c r="B16" s="832"/>
      <c r="C16" s="4"/>
      <c r="D16" s="83" t="s">
        <v>94</v>
      </c>
      <c r="E16" s="424">
        <v>2954</v>
      </c>
      <c r="F16" s="439">
        <v>29460000</v>
      </c>
      <c r="G16" s="426">
        <v>3037</v>
      </c>
      <c r="H16" s="100">
        <f t="shared" si="2"/>
        <v>45555000</v>
      </c>
      <c r="I16" s="426">
        <v>2371</v>
      </c>
      <c r="J16" s="442">
        <f>'[1]updated may 7_FMS'!I39</f>
        <v>9385900</v>
      </c>
    </row>
    <row r="17" spans="1:10" s="2" customFormat="1" ht="14.25" customHeight="1" x14ac:dyDescent="0.25">
      <c r="A17" s="918"/>
      <c r="B17" s="832"/>
      <c r="C17" s="4"/>
      <c r="D17" s="83" t="s">
        <v>95</v>
      </c>
      <c r="E17" s="424">
        <v>1228</v>
      </c>
      <c r="F17" s="439">
        <v>13747100</v>
      </c>
      <c r="G17" s="426">
        <v>1248</v>
      </c>
      <c r="H17" s="100">
        <f t="shared" si="2"/>
        <v>18720000</v>
      </c>
      <c r="I17" s="426">
        <v>1215</v>
      </c>
      <c r="J17" s="442">
        <f>'[1]updated may 7_FMS'!I40</f>
        <v>4708500</v>
      </c>
    </row>
    <row r="18" spans="1:10" s="2" customFormat="1" ht="14.25" customHeight="1" x14ac:dyDescent="0.25">
      <c r="A18" s="918"/>
      <c r="B18" s="833"/>
      <c r="C18" s="4"/>
      <c r="D18" s="83" t="s">
        <v>96</v>
      </c>
      <c r="E18" s="424">
        <v>1886</v>
      </c>
      <c r="F18" s="439">
        <v>17342700</v>
      </c>
      <c r="G18" s="426">
        <v>1946</v>
      </c>
      <c r="H18" s="100">
        <f t="shared" si="2"/>
        <v>29190000</v>
      </c>
      <c r="I18" s="426">
        <v>1864</v>
      </c>
      <c r="J18" s="442">
        <f>'[1]updated may 7_FMS'!I41</f>
        <v>7556300</v>
      </c>
    </row>
    <row r="19" spans="1:10" s="2" customFormat="1" ht="24" customHeight="1" x14ac:dyDescent="0.25">
      <c r="A19" s="77"/>
      <c r="B19" s="75"/>
      <c r="C19" s="63"/>
      <c r="D19" s="70" t="s">
        <v>80</v>
      </c>
      <c r="E19" s="70">
        <f t="shared" ref="E19:J19" si="3">SUM(E20:E26)</f>
        <v>10476</v>
      </c>
      <c r="F19" s="84">
        <f t="shared" si="3"/>
        <v>104526100</v>
      </c>
      <c r="G19" s="70">
        <f t="shared" si="3"/>
        <v>10870</v>
      </c>
      <c r="H19" s="84">
        <f t="shared" si="3"/>
        <v>163050000</v>
      </c>
      <c r="I19" s="70">
        <f t="shared" si="3"/>
        <v>10260</v>
      </c>
      <c r="J19" s="84">
        <f t="shared" si="3"/>
        <v>41797900</v>
      </c>
    </row>
    <row r="20" spans="1:10" s="2" customFormat="1" ht="14.25" customHeight="1" x14ac:dyDescent="0.25">
      <c r="A20" s="77"/>
      <c r="B20" s="75"/>
      <c r="C20" s="4"/>
      <c r="D20" s="83" t="s">
        <v>100</v>
      </c>
      <c r="E20" s="426">
        <v>1351</v>
      </c>
      <c r="F20" s="440">
        <v>13298800</v>
      </c>
      <c r="G20" s="426">
        <v>1397</v>
      </c>
      <c r="H20" s="100">
        <f t="shared" ref="H20:H26" si="4">G20*15000</f>
        <v>20955000</v>
      </c>
      <c r="I20" s="426">
        <v>1322</v>
      </c>
      <c r="J20" s="100">
        <f>'[1]updated may 7_FMS'!I43</f>
        <v>5403200</v>
      </c>
    </row>
    <row r="21" spans="1:10" s="2" customFormat="1" ht="14.25" customHeight="1" x14ac:dyDescent="0.25">
      <c r="A21" s="77"/>
      <c r="B21" s="75"/>
      <c r="C21" s="4"/>
      <c r="D21" s="83" t="s">
        <v>101</v>
      </c>
      <c r="E21" s="426">
        <v>1722</v>
      </c>
      <c r="F21" s="440">
        <v>17650300</v>
      </c>
      <c r="G21" s="426">
        <v>1827</v>
      </c>
      <c r="H21" s="100">
        <f t="shared" si="4"/>
        <v>27405000</v>
      </c>
      <c r="I21" s="426">
        <v>1709</v>
      </c>
      <c r="J21" s="100">
        <f>'[1]updated may 7_FMS'!I44</f>
        <v>6999500</v>
      </c>
    </row>
    <row r="22" spans="1:10" s="2" customFormat="1" ht="14.25" customHeight="1" x14ac:dyDescent="0.25">
      <c r="A22" s="77"/>
      <c r="B22" s="75"/>
      <c r="C22" s="4"/>
      <c r="D22" s="83" t="s">
        <v>102</v>
      </c>
      <c r="E22" s="426">
        <v>1775</v>
      </c>
      <c r="F22" s="440">
        <v>15150500</v>
      </c>
      <c r="G22" s="426">
        <v>1807</v>
      </c>
      <c r="H22" s="100">
        <f t="shared" si="4"/>
        <v>27105000</v>
      </c>
      <c r="I22" s="426">
        <v>1714</v>
      </c>
      <c r="J22" s="100">
        <f>'[1]updated may 7_FMS'!I45</f>
        <v>6828900</v>
      </c>
    </row>
    <row r="23" spans="1:10" s="2" customFormat="1" ht="14.25" customHeight="1" x14ac:dyDescent="0.25">
      <c r="A23" s="77"/>
      <c r="B23" s="75"/>
      <c r="C23" s="4"/>
      <c r="D23" s="83" t="s">
        <v>103</v>
      </c>
      <c r="E23" s="426">
        <v>1382</v>
      </c>
      <c r="F23" s="440">
        <v>14516300</v>
      </c>
      <c r="G23" s="426">
        <v>1448</v>
      </c>
      <c r="H23" s="100">
        <f t="shared" si="4"/>
        <v>21720000</v>
      </c>
      <c r="I23" s="426">
        <v>1358</v>
      </c>
      <c r="J23" s="100">
        <f>'[1]updated may 7_FMS'!I46</f>
        <v>5347600</v>
      </c>
    </row>
    <row r="24" spans="1:10" s="2" customFormat="1" ht="14.25" customHeight="1" x14ac:dyDescent="0.25">
      <c r="A24" s="77"/>
      <c r="B24" s="75"/>
      <c r="C24" s="4"/>
      <c r="D24" s="83" t="s">
        <v>104</v>
      </c>
      <c r="E24" s="426">
        <v>1369</v>
      </c>
      <c r="F24" s="440">
        <v>12910900</v>
      </c>
      <c r="G24" s="426">
        <v>1413</v>
      </c>
      <c r="H24" s="100">
        <f t="shared" si="4"/>
        <v>21195000</v>
      </c>
      <c r="I24" s="426">
        <v>1336</v>
      </c>
      <c r="J24" s="100">
        <f>'[1]updated may 7_FMS'!I47</f>
        <v>5326900</v>
      </c>
    </row>
    <row r="25" spans="1:10" s="2" customFormat="1" ht="14.25" customHeight="1" x14ac:dyDescent="0.25">
      <c r="A25" s="77"/>
      <c r="B25" s="75"/>
      <c r="C25" s="4"/>
      <c r="D25" s="83" t="s">
        <v>105</v>
      </c>
      <c r="E25" s="426">
        <v>1657</v>
      </c>
      <c r="F25" s="440">
        <v>18426800</v>
      </c>
      <c r="G25" s="426">
        <v>1711</v>
      </c>
      <c r="H25" s="100">
        <f t="shared" si="4"/>
        <v>25665000</v>
      </c>
      <c r="I25" s="426">
        <v>1615</v>
      </c>
      <c r="J25" s="100">
        <f>'[1]updated may 7_FMS'!I48</f>
        <v>6909300</v>
      </c>
    </row>
    <row r="26" spans="1:10" s="2" customFormat="1" ht="14.25" customHeight="1" x14ac:dyDescent="0.25">
      <c r="A26" s="77"/>
      <c r="B26" s="75"/>
      <c r="C26" s="4"/>
      <c r="D26" s="83" t="s">
        <v>106</v>
      </c>
      <c r="E26" s="426">
        <v>1220</v>
      </c>
      <c r="F26" s="440">
        <v>12572500</v>
      </c>
      <c r="G26" s="426">
        <v>1267</v>
      </c>
      <c r="H26" s="100">
        <f t="shared" si="4"/>
        <v>19005000</v>
      </c>
      <c r="I26" s="426">
        <v>1206</v>
      </c>
      <c r="J26" s="100">
        <f>'[1]updated may 7_FMS'!I49</f>
        <v>4982500</v>
      </c>
    </row>
    <row r="27" spans="1:10" s="2" customFormat="1" ht="24" customHeight="1" x14ac:dyDescent="0.25">
      <c r="A27" s="77"/>
      <c r="B27" s="75"/>
      <c r="C27" s="63"/>
      <c r="D27" s="70" t="s">
        <v>97</v>
      </c>
      <c r="E27" s="70">
        <f t="shared" ref="E27:J27" si="5">SUM(E28:E33)</f>
        <v>15622</v>
      </c>
      <c r="F27" s="84">
        <f t="shared" si="5"/>
        <v>162086300</v>
      </c>
      <c r="G27" s="70">
        <f t="shared" si="5"/>
        <v>15987</v>
      </c>
      <c r="H27" s="84">
        <f t="shared" si="5"/>
        <v>239805000</v>
      </c>
      <c r="I27" s="70">
        <f t="shared" si="5"/>
        <v>15410</v>
      </c>
      <c r="J27" s="84">
        <f t="shared" si="5"/>
        <v>62675100</v>
      </c>
    </row>
    <row r="28" spans="1:10" s="2" customFormat="1" ht="14.25" customHeight="1" x14ac:dyDescent="0.25">
      <c r="A28" s="77"/>
      <c r="B28" s="75"/>
      <c r="C28" s="4"/>
      <c r="D28" s="83" t="s">
        <v>107</v>
      </c>
      <c r="E28" s="426">
        <v>1243</v>
      </c>
      <c r="F28" s="440">
        <v>12789200</v>
      </c>
      <c r="G28" s="426">
        <v>1274</v>
      </c>
      <c r="H28" s="100">
        <f t="shared" ref="H28:H33" si="6">G28*15000</f>
        <v>19110000</v>
      </c>
      <c r="I28" s="426">
        <v>1234</v>
      </c>
      <c r="J28" s="100">
        <f>'[1]updated may 7_FMS'!I51</f>
        <v>4968300</v>
      </c>
    </row>
    <row r="29" spans="1:10" s="2" customFormat="1" ht="14.25" customHeight="1" x14ac:dyDescent="0.25">
      <c r="A29" s="77"/>
      <c r="B29" s="75"/>
      <c r="C29" s="4"/>
      <c r="D29" s="83" t="s">
        <v>108</v>
      </c>
      <c r="E29" s="426">
        <v>1807</v>
      </c>
      <c r="F29" s="440">
        <v>18778800</v>
      </c>
      <c r="G29" s="426">
        <v>1819</v>
      </c>
      <c r="H29" s="100">
        <f t="shared" si="6"/>
        <v>27285000</v>
      </c>
      <c r="I29" s="426">
        <v>1780</v>
      </c>
      <c r="J29" s="100">
        <f>'[1]updated may 7_FMS'!I52</f>
        <v>6872500</v>
      </c>
    </row>
    <row r="30" spans="1:10" s="2" customFormat="1" ht="14.25" customHeight="1" x14ac:dyDescent="0.25">
      <c r="A30" s="77"/>
      <c r="B30" s="75"/>
      <c r="C30" s="4"/>
      <c r="D30" s="83" t="s">
        <v>109</v>
      </c>
      <c r="E30" s="426">
        <v>3129</v>
      </c>
      <c r="F30" s="440">
        <v>31883500</v>
      </c>
      <c r="G30" s="426">
        <v>3175</v>
      </c>
      <c r="H30" s="100">
        <f t="shared" si="6"/>
        <v>47625000</v>
      </c>
      <c r="I30" s="426">
        <v>3089</v>
      </c>
      <c r="J30" s="100">
        <f>'[1]updated may 7_FMS'!I53</f>
        <v>12561500</v>
      </c>
    </row>
    <row r="31" spans="1:10" s="2" customFormat="1" ht="14.25" customHeight="1" x14ac:dyDescent="0.25">
      <c r="A31" s="77"/>
      <c r="B31" s="75"/>
      <c r="C31" s="4"/>
      <c r="D31" s="83" t="s">
        <v>110</v>
      </c>
      <c r="E31" s="426">
        <v>2752</v>
      </c>
      <c r="F31" s="440">
        <v>30203000</v>
      </c>
      <c r="G31" s="426">
        <v>2833</v>
      </c>
      <c r="H31" s="100">
        <f t="shared" si="6"/>
        <v>42495000</v>
      </c>
      <c r="I31" s="426">
        <v>2699</v>
      </c>
      <c r="J31" s="100">
        <f>'[1]updated may 7_FMS'!I54</f>
        <v>11043000</v>
      </c>
    </row>
    <row r="32" spans="1:10" s="2" customFormat="1" ht="14.25" customHeight="1" x14ac:dyDescent="0.25">
      <c r="A32" s="77"/>
      <c r="B32" s="75"/>
      <c r="C32" s="4"/>
      <c r="D32" s="83" t="s">
        <v>111</v>
      </c>
      <c r="E32" s="426">
        <v>4626</v>
      </c>
      <c r="F32" s="440">
        <v>49110800</v>
      </c>
      <c r="G32" s="426">
        <v>4752</v>
      </c>
      <c r="H32" s="100">
        <f t="shared" si="6"/>
        <v>71280000</v>
      </c>
      <c r="I32" s="426">
        <v>4568</v>
      </c>
      <c r="J32" s="100">
        <f>'[1]updated may 7_FMS'!I55</f>
        <v>18670500</v>
      </c>
    </row>
    <row r="33" spans="1:10" s="2" customFormat="1" ht="14.25" customHeight="1" x14ac:dyDescent="0.25">
      <c r="A33" s="77"/>
      <c r="B33" s="75"/>
      <c r="C33" s="4"/>
      <c r="D33" s="83" t="s">
        <v>112</v>
      </c>
      <c r="E33" s="426">
        <v>2065</v>
      </c>
      <c r="F33" s="440">
        <v>19321000</v>
      </c>
      <c r="G33" s="426">
        <v>2134</v>
      </c>
      <c r="H33" s="100">
        <f t="shared" si="6"/>
        <v>32010000</v>
      </c>
      <c r="I33" s="426">
        <v>2040</v>
      </c>
      <c r="J33" s="100">
        <f>'[1]updated may 7_FMS'!I56</f>
        <v>8559300</v>
      </c>
    </row>
    <row r="34" spans="1:10" s="2" customFormat="1" ht="24" customHeight="1" x14ac:dyDescent="0.25">
      <c r="A34" s="77"/>
      <c r="B34" s="75"/>
      <c r="C34" s="63"/>
      <c r="D34" s="70" t="s">
        <v>98</v>
      </c>
      <c r="E34" s="70">
        <f t="shared" ref="E34:J34" si="7">SUM(E35:E38)</f>
        <v>10330</v>
      </c>
      <c r="F34" s="84">
        <f t="shared" si="7"/>
        <v>97003500</v>
      </c>
      <c r="G34" s="70">
        <f t="shared" si="7"/>
        <v>10460</v>
      </c>
      <c r="H34" s="84">
        <f t="shared" si="7"/>
        <v>156900000</v>
      </c>
      <c r="I34" s="70">
        <f t="shared" si="7"/>
        <v>10078</v>
      </c>
      <c r="J34" s="84">
        <f t="shared" si="7"/>
        <v>39170900</v>
      </c>
    </row>
    <row r="35" spans="1:10" s="2" customFormat="1" ht="14.25" customHeight="1" x14ac:dyDescent="0.25">
      <c r="A35" s="77"/>
      <c r="B35" s="75"/>
      <c r="C35" s="4"/>
      <c r="D35" s="83" t="s">
        <v>113</v>
      </c>
      <c r="E35" s="426">
        <v>2594</v>
      </c>
      <c r="F35" s="440">
        <v>23133700</v>
      </c>
      <c r="G35" s="426">
        <v>2636</v>
      </c>
      <c r="H35" s="100">
        <f>G35*15000</f>
        <v>39540000</v>
      </c>
      <c r="I35" s="426">
        <v>2562</v>
      </c>
      <c r="J35" s="100">
        <f>'[1]updated may 7_FMS'!I58</f>
        <v>9613800</v>
      </c>
    </row>
    <row r="36" spans="1:10" s="2" customFormat="1" ht="14.25" customHeight="1" x14ac:dyDescent="0.25">
      <c r="A36" s="77"/>
      <c r="B36" s="75"/>
      <c r="C36" s="4"/>
      <c r="D36" s="83" t="s">
        <v>114</v>
      </c>
      <c r="E36" s="426">
        <v>2297</v>
      </c>
      <c r="F36" s="440">
        <v>21520700</v>
      </c>
      <c r="G36" s="426">
        <v>2351</v>
      </c>
      <c r="H36" s="100">
        <f>G36*15000</f>
        <v>35265000</v>
      </c>
      <c r="I36" s="426">
        <v>2256</v>
      </c>
      <c r="J36" s="100">
        <f>'[1]updated may 7_FMS'!I59</f>
        <v>8633900</v>
      </c>
    </row>
    <row r="37" spans="1:10" s="2" customFormat="1" ht="14.25" customHeight="1" x14ac:dyDescent="0.25">
      <c r="A37" s="77"/>
      <c r="B37" s="75"/>
      <c r="C37" s="4"/>
      <c r="D37" s="83" t="s">
        <v>115</v>
      </c>
      <c r="E37" s="426">
        <v>553</v>
      </c>
      <c r="F37" s="440">
        <v>6241100</v>
      </c>
      <c r="G37" s="426">
        <v>569</v>
      </c>
      <c r="H37" s="100">
        <f>G37*15000</f>
        <v>8535000</v>
      </c>
      <c r="I37" s="426">
        <v>547</v>
      </c>
      <c r="J37" s="100">
        <f>'[1]updated may 7_FMS'!I60</f>
        <v>2344400</v>
      </c>
    </row>
    <row r="38" spans="1:10" s="2" customFormat="1" ht="14.25" customHeight="1" x14ac:dyDescent="0.25">
      <c r="A38" s="77"/>
      <c r="B38" s="75"/>
      <c r="C38" s="4"/>
      <c r="D38" s="83" t="s">
        <v>116</v>
      </c>
      <c r="E38" s="426">
        <v>4886</v>
      </c>
      <c r="F38" s="440">
        <v>46108000</v>
      </c>
      <c r="G38" s="426">
        <v>4904</v>
      </c>
      <c r="H38" s="100">
        <f>G38*15000</f>
        <v>73560000</v>
      </c>
      <c r="I38" s="426">
        <v>4713</v>
      </c>
      <c r="J38" s="100">
        <f>'[1]updated may 7_FMS'!I61</f>
        <v>18578800</v>
      </c>
    </row>
    <row r="39" spans="1:10" s="2" customFormat="1" ht="24" customHeight="1" x14ac:dyDescent="0.25">
      <c r="A39" s="77"/>
      <c r="B39" s="75"/>
      <c r="C39" s="63"/>
      <c r="D39" s="70" t="s">
        <v>99</v>
      </c>
      <c r="E39" s="70">
        <f t="shared" ref="E39:J39" si="8">SUM(E40)</f>
        <v>13269</v>
      </c>
      <c r="F39" s="84">
        <f t="shared" si="8"/>
        <v>124244100</v>
      </c>
      <c r="G39" s="70">
        <f t="shared" si="8"/>
        <v>13521</v>
      </c>
      <c r="H39" s="84">
        <f t="shared" si="8"/>
        <v>202815000</v>
      </c>
      <c r="I39" s="70">
        <f t="shared" si="8"/>
        <v>13013</v>
      </c>
      <c r="J39" s="84">
        <f t="shared" si="8"/>
        <v>51665200</v>
      </c>
    </row>
    <row r="40" spans="1:10" s="2" customFormat="1" ht="14.25" customHeight="1" x14ac:dyDescent="0.25">
      <c r="A40" s="77"/>
      <c r="B40" s="75"/>
      <c r="C40" s="4"/>
      <c r="D40" s="83" t="s">
        <v>117</v>
      </c>
      <c r="E40" s="426">
        <v>13269</v>
      </c>
      <c r="F40" s="440">
        <v>124244100</v>
      </c>
      <c r="G40" s="426">
        <v>13521</v>
      </c>
      <c r="H40" s="100">
        <f>G40*15000</f>
        <v>202815000</v>
      </c>
      <c r="I40" s="426">
        <v>13013</v>
      </c>
      <c r="J40" s="100">
        <f>'[1]updated may 7_FMS'!I63</f>
        <v>51665200</v>
      </c>
    </row>
    <row r="41" spans="1:10" s="8" customFormat="1" ht="8.25" customHeight="1" x14ac:dyDescent="0.25">
      <c r="A41" s="7"/>
      <c r="B41" s="7"/>
      <c r="C41" s="7"/>
      <c r="D41" s="7"/>
      <c r="E41" s="7"/>
      <c r="F41" s="93"/>
      <c r="G41" s="7"/>
      <c r="H41" s="93"/>
      <c r="I41" s="7"/>
      <c r="J41" s="7"/>
    </row>
    <row r="42" spans="1:10" s="9" customFormat="1" ht="20.25" customHeight="1" x14ac:dyDescent="0.25">
      <c r="A42" s="926" t="s">
        <v>61</v>
      </c>
      <c r="B42" s="831" t="s">
        <v>62</v>
      </c>
      <c r="C42" s="967" t="s">
        <v>21</v>
      </c>
      <c r="D42" s="132" t="s">
        <v>81</v>
      </c>
      <c r="E42" s="134">
        <f>E43+E50+E58+E65+E70</f>
        <v>257</v>
      </c>
      <c r="F42" s="135">
        <f>F43+F50+F58+F65+F70</f>
        <v>891700</v>
      </c>
      <c r="G42" s="63"/>
      <c r="H42" s="78"/>
      <c r="I42" s="63"/>
      <c r="J42" s="63"/>
    </row>
    <row r="43" spans="1:10" s="9" customFormat="1" ht="21" customHeight="1" x14ac:dyDescent="0.25">
      <c r="A43" s="927"/>
      <c r="B43" s="832"/>
      <c r="C43" s="968"/>
      <c r="D43" s="70" t="s">
        <v>79</v>
      </c>
      <c r="E43" s="70">
        <f t="shared" ref="E43:J43" si="9">SUM(E44:E49)</f>
        <v>161</v>
      </c>
      <c r="F43" s="84">
        <f t="shared" si="9"/>
        <v>319200</v>
      </c>
      <c r="G43" s="70">
        <f t="shared" si="9"/>
        <v>0</v>
      </c>
      <c r="H43" s="84">
        <f t="shared" si="9"/>
        <v>0</v>
      </c>
      <c r="I43" s="70">
        <f t="shared" si="9"/>
        <v>0</v>
      </c>
      <c r="J43" s="71">
        <f t="shared" si="9"/>
        <v>0</v>
      </c>
    </row>
    <row r="44" spans="1:10" s="2" customFormat="1" ht="15" customHeight="1" x14ac:dyDescent="0.25">
      <c r="A44" s="25"/>
      <c r="B44" s="832"/>
      <c r="C44" s="4"/>
      <c r="D44" s="83" t="s">
        <v>91</v>
      </c>
      <c r="E44" s="30"/>
      <c r="F44" s="37"/>
      <c r="G44" s="4"/>
      <c r="H44" s="17"/>
      <c r="I44" s="395"/>
      <c r="J44" s="17"/>
    </row>
    <row r="45" spans="1:10" s="2" customFormat="1" ht="15" customHeight="1" x14ac:dyDescent="0.25">
      <c r="A45" s="26"/>
      <c r="B45" s="832"/>
      <c r="C45" s="4"/>
      <c r="D45" s="83" t="s">
        <v>92</v>
      </c>
      <c r="E45" s="30"/>
      <c r="F45" s="37"/>
      <c r="G45" s="4"/>
      <c r="H45" s="17"/>
      <c r="I45" s="395"/>
      <c r="J45" s="17"/>
    </row>
    <row r="46" spans="1:10" s="2" customFormat="1" ht="15" customHeight="1" x14ac:dyDescent="0.25">
      <c r="A46" s="26"/>
      <c r="B46" s="832"/>
      <c r="C46" s="4"/>
      <c r="D46" s="83" t="s">
        <v>93</v>
      </c>
      <c r="E46" s="30"/>
      <c r="F46" s="37"/>
      <c r="G46" s="4"/>
      <c r="H46" s="17"/>
      <c r="I46" s="395"/>
      <c r="J46" s="17"/>
    </row>
    <row r="47" spans="1:10" s="2" customFormat="1" ht="15" customHeight="1" x14ac:dyDescent="0.25">
      <c r="A47" s="26"/>
      <c r="B47" s="832"/>
      <c r="C47" s="4"/>
      <c r="D47" s="83" t="s">
        <v>94</v>
      </c>
      <c r="E47" s="30">
        <f>148</f>
        <v>148</v>
      </c>
      <c r="F47" s="37">
        <f>292200</f>
        <v>292200</v>
      </c>
      <c r="G47" s="4"/>
      <c r="H47" s="17"/>
      <c r="I47" s="395"/>
      <c r="J47" s="17"/>
    </row>
    <row r="48" spans="1:10" s="2" customFormat="1" ht="15" customHeight="1" x14ac:dyDescent="0.25">
      <c r="A48" s="26"/>
      <c r="B48" s="832"/>
      <c r="C48" s="4"/>
      <c r="D48" s="83" t="s">
        <v>95</v>
      </c>
      <c r="E48" s="30">
        <f>13</f>
        <v>13</v>
      </c>
      <c r="F48" s="37">
        <f>27000</f>
        <v>27000</v>
      </c>
      <c r="G48" s="4"/>
      <c r="H48" s="17"/>
      <c r="I48" s="395"/>
      <c r="J48" s="17"/>
    </row>
    <row r="49" spans="1:10" s="2" customFormat="1" ht="15" customHeight="1" x14ac:dyDescent="0.25">
      <c r="A49" s="27"/>
      <c r="B49" s="833"/>
      <c r="C49" s="4"/>
      <c r="D49" s="83" t="s">
        <v>96</v>
      </c>
      <c r="E49" s="30"/>
      <c r="F49" s="37"/>
      <c r="G49" s="4"/>
      <c r="H49" s="17"/>
      <c r="I49" s="395"/>
      <c r="J49" s="17"/>
    </row>
    <row r="50" spans="1:10" s="2" customFormat="1" ht="16.5" customHeight="1" x14ac:dyDescent="0.25">
      <c r="A50" s="77"/>
      <c r="B50" s="75"/>
      <c r="C50" s="63"/>
      <c r="D50" s="70" t="s">
        <v>80</v>
      </c>
      <c r="E50" s="70">
        <f t="shared" ref="E50:J50" si="10">SUM(E51:E57)</f>
        <v>33</v>
      </c>
      <c r="F50" s="84">
        <f t="shared" si="10"/>
        <v>239700</v>
      </c>
      <c r="G50" s="70">
        <f t="shared" si="10"/>
        <v>0</v>
      </c>
      <c r="H50" s="84">
        <f t="shared" si="10"/>
        <v>0</v>
      </c>
      <c r="I50" s="70">
        <f t="shared" si="10"/>
        <v>0</v>
      </c>
      <c r="J50" s="71">
        <f t="shared" si="10"/>
        <v>0</v>
      </c>
    </row>
    <row r="51" spans="1:10" s="2" customFormat="1" ht="14.25" customHeight="1" x14ac:dyDescent="0.25">
      <c r="A51" s="77"/>
      <c r="B51" s="75"/>
      <c r="C51" s="4"/>
      <c r="D51" s="83" t="s">
        <v>100</v>
      </c>
      <c r="E51" s="30"/>
      <c r="F51" s="37"/>
      <c r="G51" s="4"/>
      <c r="H51" s="17"/>
      <c r="I51" s="395"/>
      <c r="J51" s="17"/>
    </row>
    <row r="52" spans="1:10" s="2" customFormat="1" ht="14.25" customHeight="1" x14ac:dyDescent="0.25">
      <c r="A52" s="77"/>
      <c r="B52" s="75"/>
      <c r="C52" s="4"/>
      <c r="D52" s="83" t="s">
        <v>101</v>
      </c>
      <c r="E52" s="30"/>
      <c r="F52" s="37"/>
      <c r="G52" s="4"/>
      <c r="H52" s="17"/>
      <c r="I52" s="395"/>
      <c r="J52" s="17"/>
    </row>
    <row r="53" spans="1:10" s="2" customFormat="1" ht="14.25" customHeight="1" x14ac:dyDescent="0.25">
      <c r="A53" s="77"/>
      <c r="B53" s="75"/>
      <c r="C53" s="4"/>
      <c r="D53" s="83" t="s">
        <v>102</v>
      </c>
      <c r="E53" s="30"/>
      <c r="F53" s="37"/>
      <c r="G53" s="4"/>
      <c r="H53" s="17"/>
      <c r="I53" s="395"/>
      <c r="J53" s="17"/>
    </row>
    <row r="54" spans="1:10" s="2" customFormat="1" ht="14.25" customHeight="1" x14ac:dyDescent="0.25">
      <c r="A54" s="77"/>
      <c r="B54" s="75"/>
      <c r="C54" s="4"/>
      <c r="D54" s="83" t="s">
        <v>103</v>
      </c>
      <c r="E54" s="30">
        <f>1</f>
        <v>1</v>
      </c>
      <c r="F54" s="37">
        <f>107100</f>
        <v>107100</v>
      </c>
      <c r="G54" s="4"/>
      <c r="H54" s="17"/>
      <c r="I54" s="395"/>
      <c r="J54" s="17"/>
    </row>
    <row r="55" spans="1:10" s="2" customFormat="1" ht="14.25" customHeight="1" x14ac:dyDescent="0.25">
      <c r="A55" s="77"/>
      <c r="B55" s="75"/>
      <c r="C55" s="4"/>
      <c r="D55" s="83" t="s">
        <v>104</v>
      </c>
      <c r="E55" s="30"/>
      <c r="F55" s="37"/>
      <c r="G55" s="4"/>
      <c r="H55" s="17"/>
      <c r="I55" s="395"/>
      <c r="J55" s="17"/>
    </row>
    <row r="56" spans="1:10" s="2" customFormat="1" ht="14.25" customHeight="1" x14ac:dyDescent="0.25">
      <c r="A56" s="77"/>
      <c r="B56" s="75"/>
      <c r="C56" s="4"/>
      <c r="D56" s="83" t="s">
        <v>105</v>
      </c>
      <c r="E56" s="30"/>
      <c r="F56" s="37"/>
      <c r="G56" s="4"/>
      <c r="H56" s="17"/>
      <c r="I56" s="395"/>
      <c r="J56" s="17"/>
    </row>
    <row r="57" spans="1:10" s="2" customFormat="1" ht="14.25" customHeight="1" x14ac:dyDescent="0.25">
      <c r="A57" s="77"/>
      <c r="B57" s="75"/>
      <c r="C57" s="4"/>
      <c r="D57" s="83" t="s">
        <v>106</v>
      </c>
      <c r="E57" s="30">
        <f>32</f>
        <v>32</v>
      </c>
      <c r="F57" s="37">
        <f>132600</f>
        <v>132600</v>
      </c>
      <c r="G57" s="4"/>
      <c r="H57" s="17"/>
      <c r="I57" s="395"/>
      <c r="J57" s="17"/>
    </row>
    <row r="58" spans="1:10" s="2" customFormat="1" ht="18.75" customHeight="1" x14ac:dyDescent="0.25">
      <c r="A58" s="77"/>
      <c r="B58" s="75"/>
      <c r="C58" s="63"/>
      <c r="D58" s="70" t="s">
        <v>97</v>
      </c>
      <c r="E58" s="70">
        <f t="shared" ref="E58:J58" si="11">SUM(E59:E64)</f>
        <v>63</v>
      </c>
      <c r="F58" s="84">
        <f t="shared" si="11"/>
        <v>332800</v>
      </c>
      <c r="G58" s="70">
        <f t="shared" si="11"/>
        <v>0</v>
      </c>
      <c r="H58" s="84">
        <f t="shared" si="11"/>
        <v>0</v>
      </c>
      <c r="I58" s="70">
        <f t="shared" si="11"/>
        <v>0</v>
      </c>
      <c r="J58" s="71">
        <f t="shared" si="11"/>
        <v>0</v>
      </c>
    </row>
    <row r="59" spans="1:10" s="2" customFormat="1" ht="14.25" customHeight="1" x14ac:dyDescent="0.25">
      <c r="A59" s="77"/>
      <c r="B59" s="75"/>
      <c r="C59" s="4"/>
      <c r="D59" s="83" t="s">
        <v>107</v>
      </c>
      <c r="E59" s="30">
        <f>58</f>
        <v>58</v>
      </c>
      <c r="F59" s="37">
        <f>292500</f>
        <v>292500</v>
      </c>
      <c r="G59" s="4"/>
      <c r="H59" s="17"/>
      <c r="I59" s="395"/>
      <c r="J59" s="17"/>
    </row>
    <row r="60" spans="1:10" s="2" customFormat="1" ht="14.25" customHeight="1" x14ac:dyDescent="0.25">
      <c r="A60" s="77"/>
      <c r="B60" s="75"/>
      <c r="C60" s="4"/>
      <c r="D60" s="83" t="s">
        <v>108</v>
      </c>
      <c r="E60" s="30"/>
      <c r="F60" s="37"/>
      <c r="G60" s="4"/>
      <c r="H60" s="17"/>
      <c r="I60" s="395"/>
      <c r="J60" s="17"/>
    </row>
    <row r="61" spans="1:10" s="2" customFormat="1" ht="14.25" customHeight="1" x14ac:dyDescent="0.25">
      <c r="A61" s="77"/>
      <c r="B61" s="75"/>
      <c r="C61" s="4"/>
      <c r="D61" s="83" t="s">
        <v>109</v>
      </c>
      <c r="E61" s="30"/>
      <c r="F61" s="37"/>
      <c r="G61" s="4"/>
      <c r="H61" s="17"/>
      <c r="I61" s="395"/>
      <c r="J61" s="17"/>
    </row>
    <row r="62" spans="1:10" s="2" customFormat="1" ht="14.25" customHeight="1" x14ac:dyDescent="0.25">
      <c r="A62" s="77"/>
      <c r="B62" s="75"/>
      <c r="C62" s="4"/>
      <c r="D62" s="83" t="s">
        <v>110</v>
      </c>
      <c r="E62" s="30"/>
      <c r="F62" s="37"/>
      <c r="G62" s="4"/>
      <c r="H62" s="17"/>
      <c r="I62" s="395"/>
      <c r="J62" s="17"/>
    </row>
    <row r="63" spans="1:10" s="2" customFormat="1" ht="14.25" customHeight="1" x14ac:dyDescent="0.25">
      <c r="A63" s="77"/>
      <c r="B63" s="75"/>
      <c r="C63" s="4"/>
      <c r="D63" s="83" t="s">
        <v>111</v>
      </c>
      <c r="E63" s="30"/>
      <c r="F63" s="37"/>
      <c r="G63" s="4"/>
      <c r="H63" s="17"/>
      <c r="I63" s="395"/>
      <c r="J63" s="17"/>
    </row>
    <row r="64" spans="1:10" s="2" customFormat="1" ht="14.25" customHeight="1" x14ac:dyDescent="0.25">
      <c r="A64" s="77"/>
      <c r="B64" s="75"/>
      <c r="C64" s="4"/>
      <c r="D64" s="83" t="s">
        <v>112</v>
      </c>
      <c r="E64" s="30">
        <f>5</f>
        <v>5</v>
      </c>
      <c r="F64" s="37">
        <f>40300</f>
        <v>40300</v>
      </c>
      <c r="G64" s="4"/>
      <c r="H64" s="17"/>
      <c r="I64" s="395"/>
      <c r="J64" s="17"/>
    </row>
    <row r="65" spans="1:10" s="2" customFormat="1" ht="17.25" customHeight="1" x14ac:dyDescent="0.25">
      <c r="A65" s="77"/>
      <c r="B65" s="75"/>
      <c r="C65" s="63"/>
      <c r="D65" s="70" t="s">
        <v>98</v>
      </c>
      <c r="E65" s="70">
        <f t="shared" ref="E65:J65" si="12">SUM(E66:E69)</f>
        <v>0</v>
      </c>
      <c r="F65" s="84">
        <f t="shared" si="12"/>
        <v>0</v>
      </c>
      <c r="G65" s="70">
        <f t="shared" si="12"/>
        <v>0</v>
      </c>
      <c r="H65" s="84">
        <f t="shared" si="12"/>
        <v>0</v>
      </c>
      <c r="I65" s="70">
        <f t="shared" si="12"/>
        <v>0</v>
      </c>
      <c r="J65" s="71">
        <f t="shared" si="12"/>
        <v>0</v>
      </c>
    </row>
    <row r="66" spans="1:10" s="2" customFormat="1" ht="14.25" customHeight="1" x14ac:dyDescent="0.25">
      <c r="A66" s="77"/>
      <c r="B66" s="75"/>
      <c r="C66" s="4"/>
      <c r="D66" s="83" t="s">
        <v>113</v>
      </c>
      <c r="E66" s="30"/>
      <c r="F66" s="37"/>
      <c r="G66" s="4"/>
      <c r="H66" s="17"/>
      <c r="I66" s="395"/>
      <c r="J66" s="17"/>
    </row>
    <row r="67" spans="1:10" s="2" customFormat="1" ht="14.25" customHeight="1" x14ac:dyDescent="0.25">
      <c r="A67" s="77"/>
      <c r="B67" s="75"/>
      <c r="C67" s="4"/>
      <c r="D67" s="83" t="s">
        <v>114</v>
      </c>
      <c r="E67" s="30"/>
      <c r="F67" s="37"/>
      <c r="G67" s="4"/>
      <c r="H67" s="17"/>
      <c r="I67" s="395"/>
      <c r="J67" s="17"/>
    </row>
    <row r="68" spans="1:10" s="2" customFormat="1" ht="14.25" customHeight="1" x14ac:dyDescent="0.25">
      <c r="A68" s="77"/>
      <c r="B68" s="75"/>
      <c r="C68" s="4"/>
      <c r="D68" s="83" t="s">
        <v>115</v>
      </c>
      <c r="E68" s="30"/>
      <c r="F68" s="37"/>
      <c r="G68" s="4"/>
      <c r="H68" s="17"/>
      <c r="I68" s="395"/>
      <c r="J68" s="17"/>
    </row>
    <row r="69" spans="1:10" s="2" customFormat="1" ht="14.25" customHeight="1" x14ac:dyDescent="0.25">
      <c r="A69" s="77"/>
      <c r="B69" s="75"/>
      <c r="C69" s="4"/>
      <c r="D69" s="83" t="s">
        <v>116</v>
      </c>
      <c r="E69" s="30"/>
      <c r="F69" s="37"/>
      <c r="G69" s="4"/>
      <c r="H69" s="17"/>
      <c r="I69" s="395"/>
      <c r="J69" s="17"/>
    </row>
    <row r="70" spans="1:10" s="2" customFormat="1" ht="16.5" customHeight="1" x14ac:dyDescent="0.25">
      <c r="A70" s="77"/>
      <c r="B70" s="75"/>
      <c r="C70" s="63"/>
      <c r="D70" s="70" t="s">
        <v>99</v>
      </c>
      <c r="E70" s="70">
        <f t="shared" ref="E70:J70" si="13">SUM(E71)</f>
        <v>0</v>
      </c>
      <c r="F70" s="84">
        <f t="shared" si="13"/>
        <v>0</v>
      </c>
      <c r="G70" s="70">
        <f t="shared" si="13"/>
        <v>0</v>
      </c>
      <c r="H70" s="84">
        <f t="shared" si="13"/>
        <v>0</v>
      </c>
      <c r="I70" s="70">
        <f t="shared" si="13"/>
        <v>0</v>
      </c>
      <c r="J70" s="84">
        <f t="shared" si="13"/>
        <v>0</v>
      </c>
    </row>
    <row r="71" spans="1:10" s="2" customFormat="1" ht="14.25" customHeight="1" x14ac:dyDescent="0.25">
      <c r="A71" s="77"/>
      <c r="B71" s="75"/>
      <c r="C71" s="4"/>
      <c r="D71" s="83" t="s">
        <v>117</v>
      </c>
      <c r="E71" s="30"/>
      <c r="F71" s="37"/>
      <c r="G71" s="4"/>
      <c r="H71" s="17"/>
      <c r="I71" s="395"/>
      <c r="J71" s="17"/>
    </row>
    <row r="72" spans="1:10" s="8" customFormat="1" ht="8.25" customHeight="1" x14ac:dyDescent="0.25">
      <c r="A72" s="7"/>
      <c r="B72" s="7"/>
      <c r="C72" s="7"/>
      <c r="D72" s="7"/>
      <c r="E72" s="7"/>
      <c r="F72" s="93"/>
      <c r="G72" s="7"/>
      <c r="H72" s="93"/>
      <c r="I72" s="7"/>
      <c r="J72" s="7"/>
    </row>
    <row r="73" spans="1:10" s="9" customFormat="1" ht="20.25" customHeight="1" x14ac:dyDescent="0.25">
      <c r="A73" s="926" t="s">
        <v>7</v>
      </c>
      <c r="B73" s="832" t="s">
        <v>52</v>
      </c>
      <c r="C73" s="967" t="s">
        <v>53</v>
      </c>
      <c r="D73" s="132" t="s">
        <v>81</v>
      </c>
      <c r="E73" s="136">
        <f t="shared" ref="E73:J73" si="14">E74+E81+E89+E96+E101</f>
        <v>1021</v>
      </c>
      <c r="F73" s="137">
        <f t="shared" si="14"/>
        <v>9230000</v>
      </c>
      <c r="G73" s="136">
        <f t="shared" si="14"/>
        <v>3678</v>
      </c>
      <c r="H73" s="137">
        <f t="shared" si="14"/>
        <v>18390000</v>
      </c>
      <c r="I73" s="136">
        <f t="shared" si="14"/>
        <v>498</v>
      </c>
      <c r="J73" s="137">
        <f t="shared" si="14"/>
        <v>3890000</v>
      </c>
    </row>
    <row r="74" spans="1:10" s="9" customFormat="1" ht="18" customHeight="1" x14ac:dyDescent="0.25">
      <c r="A74" s="927"/>
      <c r="B74" s="832"/>
      <c r="C74" s="968"/>
      <c r="D74" s="70" t="s">
        <v>79</v>
      </c>
      <c r="E74" s="67">
        <f t="shared" ref="E74:J74" si="15">SUM(E75:E80)</f>
        <v>214</v>
      </c>
      <c r="F74" s="69">
        <f t="shared" si="15"/>
        <v>1635000</v>
      </c>
      <c r="G74" s="67">
        <f t="shared" si="15"/>
        <v>840</v>
      </c>
      <c r="H74" s="69">
        <f t="shared" si="15"/>
        <v>4200000</v>
      </c>
      <c r="I74" s="406">
        <f t="shared" si="15"/>
        <v>146</v>
      </c>
      <c r="J74" s="68">
        <f t="shared" si="15"/>
        <v>1155000</v>
      </c>
    </row>
    <row r="75" spans="1:10" s="2" customFormat="1" ht="15" customHeight="1" x14ac:dyDescent="0.25">
      <c r="A75" s="4"/>
      <c r="B75" s="832"/>
      <c r="C75" s="4"/>
      <c r="D75" s="83" t="s">
        <v>91</v>
      </c>
      <c r="E75" s="30"/>
      <c r="F75" s="37"/>
      <c r="G75" s="30">
        <v>210</v>
      </c>
      <c r="H75" s="37">
        <f t="shared" ref="H75:H80" si="16">G75*5000</f>
        <v>1050000</v>
      </c>
      <c r="I75" s="30"/>
      <c r="J75" s="384"/>
    </row>
    <row r="76" spans="1:10" s="2" customFormat="1" ht="15" customHeight="1" x14ac:dyDescent="0.25">
      <c r="A76" s="4"/>
      <c r="B76" s="832"/>
      <c r="C76" s="4"/>
      <c r="D76" s="83" t="s">
        <v>92</v>
      </c>
      <c r="E76" s="30">
        <f>1+65</f>
        <v>66</v>
      </c>
      <c r="F76" s="37">
        <f>10000+575000</f>
        <v>585000</v>
      </c>
      <c r="G76" s="30">
        <v>180</v>
      </c>
      <c r="H76" s="37">
        <f t="shared" si="16"/>
        <v>900000</v>
      </c>
      <c r="I76" s="30">
        <f>10+10+31+2+50</f>
        <v>103</v>
      </c>
      <c r="J76" s="384">
        <f>50000+100000+310000+15000+250000</f>
        <v>725000</v>
      </c>
    </row>
    <row r="77" spans="1:10" s="2" customFormat="1" ht="15" customHeight="1" x14ac:dyDescent="0.25">
      <c r="A77" s="4"/>
      <c r="B77" s="832"/>
      <c r="C77" s="4"/>
      <c r="D77" s="83" t="s">
        <v>93</v>
      </c>
      <c r="E77" s="30">
        <f>70+70</f>
        <v>140</v>
      </c>
      <c r="F77" s="37">
        <f>575000+400000</f>
        <v>975000</v>
      </c>
      <c r="G77" s="30"/>
      <c r="H77" s="37">
        <f t="shared" si="16"/>
        <v>0</v>
      </c>
      <c r="I77" s="30">
        <f>15</f>
        <v>15</v>
      </c>
      <c r="J77" s="384">
        <f>150000</f>
        <v>150000</v>
      </c>
    </row>
    <row r="78" spans="1:10" s="2" customFormat="1" ht="15" customHeight="1" x14ac:dyDescent="0.25">
      <c r="A78" s="4"/>
      <c r="B78" s="832"/>
      <c r="C78" s="4"/>
      <c r="D78" s="83" t="s">
        <v>94</v>
      </c>
      <c r="E78" s="30">
        <f>3</f>
        <v>3</v>
      </c>
      <c r="F78" s="37">
        <f>30000</f>
        <v>30000</v>
      </c>
      <c r="G78" s="30">
        <v>230</v>
      </c>
      <c r="H78" s="37">
        <f t="shared" si="16"/>
        <v>1150000</v>
      </c>
      <c r="I78" s="30">
        <f>1</f>
        <v>1</v>
      </c>
      <c r="J78" s="384">
        <f>10000</f>
        <v>10000</v>
      </c>
    </row>
    <row r="79" spans="1:10" s="2" customFormat="1" ht="15" customHeight="1" x14ac:dyDescent="0.25">
      <c r="A79" s="4"/>
      <c r="B79" s="832"/>
      <c r="C79" s="4"/>
      <c r="D79" s="83" t="s">
        <v>95</v>
      </c>
      <c r="E79" s="30">
        <f>3</f>
        <v>3</v>
      </c>
      <c r="F79" s="37">
        <f>30000</f>
        <v>30000</v>
      </c>
      <c r="G79" s="30">
        <v>220</v>
      </c>
      <c r="H79" s="37">
        <f t="shared" si="16"/>
        <v>1100000</v>
      </c>
      <c r="I79" s="30">
        <f>1+25</f>
        <v>26</v>
      </c>
      <c r="J79" s="384">
        <f>10000+250000</f>
        <v>260000</v>
      </c>
    </row>
    <row r="80" spans="1:10" s="2" customFormat="1" ht="15" customHeight="1" x14ac:dyDescent="0.25">
      <c r="A80" s="4"/>
      <c r="B80" s="833"/>
      <c r="C80" s="4"/>
      <c r="D80" s="83" t="s">
        <v>96</v>
      </c>
      <c r="E80" s="30">
        <f>2</f>
        <v>2</v>
      </c>
      <c r="F80" s="37">
        <f>15000</f>
        <v>15000</v>
      </c>
      <c r="G80" s="30"/>
      <c r="H80" s="37">
        <f t="shared" si="16"/>
        <v>0</v>
      </c>
      <c r="I80" s="30">
        <f>1</f>
        <v>1</v>
      </c>
      <c r="J80" s="384">
        <f>10000</f>
        <v>10000</v>
      </c>
    </row>
    <row r="81" spans="1:10" s="2" customFormat="1" ht="17.25" customHeight="1" x14ac:dyDescent="0.25">
      <c r="A81" s="77"/>
      <c r="B81" s="75"/>
      <c r="C81" s="63"/>
      <c r="D81" s="70" t="s">
        <v>80</v>
      </c>
      <c r="E81" s="70">
        <f t="shared" ref="E81:J81" si="17">SUM(E82:E88)</f>
        <v>357</v>
      </c>
      <c r="F81" s="84">
        <f t="shared" si="17"/>
        <v>2770000</v>
      </c>
      <c r="G81" s="70">
        <f t="shared" si="17"/>
        <v>820</v>
      </c>
      <c r="H81" s="84">
        <f t="shared" si="17"/>
        <v>4100000</v>
      </c>
      <c r="I81" s="70">
        <f t="shared" si="17"/>
        <v>17</v>
      </c>
      <c r="J81" s="71">
        <f t="shared" si="17"/>
        <v>170000</v>
      </c>
    </row>
    <row r="82" spans="1:10" s="2" customFormat="1" ht="14.25" customHeight="1" x14ac:dyDescent="0.25">
      <c r="A82" s="77"/>
      <c r="B82" s="75"/>
      <c r="C82" s="4"/>
      <c r="D82" s="83" t="s">
        <v>100</v>
      </c>
      <c r="E82" s="30">
        <f>20+40</f>
        <v>60</v>
      </c>
      <c r="F82" s="37">
        <f>200000+400000</f>
        <v>600000</v>
      </c>
      <c r="G82" s="30">
        <v>120</v>
      </c>
      <c r="H82" s="37">
        <f t="shared" ref="H82:H88" si="18">G82*5000</f>
        <v>600000</v>
      </c>
      <c r="I82" s="30"/>
      <c r="J82" s="384"/>
    </row>
    <row r="83" spans="1:10" s="2" customFormat="1" ht="14.25" customHeight="1" x14ac:dyDescent="0.25">
      <c r="A83" s="77"/>
      <c r="B83" s="75"/>
      <c r="C83" s="4"/>
      <c r="D83" s="83" t="s">
        <v>101</v>
      </c>
      <c r="E83" s="30">
        <f>90+25</f>
        <v>115</v>
      </c>
      <c r="F83" s="37">
        <f>450000+150000</f>
        <v>600000</v>
      </c>
      <c r="G83" s="30">
        <v>180</v>
      </c>
      <c r="H83" s="37">
        <f t="shared" si="18"/>
        <v>900000</v>
      </c>
      <c r="I83" s="30"/>
      <c r="J83" s="384"/>
    </row>
    <row r="84" spans="1:10" s="2" customFormat="1" ht="14.25" customHeight="1" x14ac:dyDescent="0.25">
      <c r="A84" s="77"/>
      <c r="B84" s="75"/>
      <c r="C84" s="4"/>
      <c r="D84" s="83" t="s">
        <v>102</v>
      </c>
      <c r="E84" s="30"/>
      <c r="F84" s="37"/>
      <c r="G84" s="30">
        <v>160</v>
      </c>
      <c r="H84" s="37">
        <f t="shared" si="18"/>
        <v>800000</v>
      </c>
      <c r="I84" s="30">
        <f>15</f>
        <v>15</v>
      </c>
      <c r="J84" s="384">
        <f>150000</f>
        <v>150000</v>
      </c>
    </row>
    <row r="85" spans="1:10" s="2" customFormat="1" ht="14.25" customHeight="1" x14ac:dyDescent="0.25">
      <c r="A85" s="77"/>
      <c r="B85" s="75"/>
      <c r="C85" s="4"/>
      <c r="D85" s="83" t="s">
        <v>103</v>
      </c>
      <c r="E85" s="30"/>
      <c r="F85" s="37"/>
      <c r="G85" s="30">
        <v>120</v>
      </c>
      <c r="H85" s="37">
        <f t="shared" si="18"/>
        <v>600000</v>
      </c>
      <c r="I85" s="30"/>
      <c r="J85" s="384"/>
    </row>
    <row r="86" spans="1:10" s="2" customFormat="1" ht="14.25" customHeight="1" x14ac:dyDescent="0.25">
      <c r="A86" s="77"/>
      <c r="B86" s="75"/>
      <c r="C86" s="4"/>
      <c r="D86" s="83" t="s">
        <v>104</v>
      </c>
      <c r="E86" s="30">
        <f>1</f>
        <v>1</v>
      </c>
      <c r="F86" s="37">
        <f>10000</f>
        <v>10000</v>
      </c>
      <c r="G86" s="30"/>
      <c r="H86" s="37">
        <f t="shared" si="18"/>
        <v>0</v>
      </c>
      <c r="I86" s="30"/>
      <c r="J86" s="384"/>
    </row>
    <row r="87" spans="1:10" s="2" customFormat="1" ht="14.25" customHeight="1" x14ac:dyDescent="0.25">
      <c r="A87" s="77"/>
      <c r="B87" s="75"/>
      <c r="C87" s="4"/>
      <c r="D87" s="83" t="s">
        <v>105</v>
      </c>
      <c r="E87" s="30">
        <f>45+105</f>
        <v>150</v>
      </c>
      <c r="F87" s="37">
        <f>300000+950000</f>
        <v>1250000</v>
      </c>
      <c r="G87" s="30">
        <v>240</v>
      </c>
      <c r="H87" s="37">
        <f t="shared" si="18"/>
        <v>1200000</v>
      </c>
      <c r="I87" s="30"/>
      <c r="J87" s="384"/>
    </row>
    <row r="88" spans="1:10" s="2" customFormat="1" ht="14.25" customHeight="1" x14ac:dyDescent="0.25">
      <c r="A88" s="77"/>
      <c r="B88" s="75"/>
      <c r="C88" s="4"/>
      <c r="D88" s="83" t="s">
        <v>106</v>
      </c>
      <c r="E88" s="30">
        <f>1+30</f>
        <v>31</v>
      </c>
      <c r="F88" s="37">
        <f>10000+300000</f>
        <v>310000</v>
      </c>
      <c r="G88" s="30"/>
      <c r="H88" s="37">
        <f t="shared" si="18"/>
        <v>0</v>
      </c>
      <c r="I88" s="30">
        <f>2</f>
        <v>2</v>
      </c>
      <c r="J88" s="384">
        <f>20000</f>
        <v>20000</v>
      </c>
    </row>
    <row r="89" spans="1:10" s="2" customFormat="1" ht="21.75" customHeight="1" x14ac:dyDescent="0.25">
      <c r="A89" s="77"/>
      <c r="B89" s="75"/>
      <c r="C89" s="63"/>
      <c r="D89" s="70" t="s">
        <v>97</v>
      </c>
      <c r="E89" s="70">
        <f t="shared" ref="E89:J89" si="19">SUM(E90:E95)</f>
        <v>228</v>
      </c>
      <c r="F89" s="84">
        <f t="shared" si="19"/>
        <v>2570000</v>
      </c>
      <c r="G89" s="70">
        <f t="shared" si="19"/>
        <v>1300</v>
      </c>
      <c r="H89" s="84">
        <f t="shared" si="19"/>
        <v>6500000</v>
      </c>
      <c r="I89" s="70">
        <f t="shared" si="19"/>
        <v>237</v>
      </c>
      <c r="J89" s="71">
        <f t="shared" si="19"/>
        <v>2070000</v>
      </c>
    </row>
    <row r="90" spans="1:10" s="2" customFormat="1" ht="14.25" customHeight="1" x14ac:dyDescent="0.25">
      <c r="A90" s="77"/>
      <c r="B90" s="75"/>
      <c r="C90" s="4"/>
      <c r="D90" s="83" t="s">
        <v>107</v>
      </c>
      <c r="E90" s="30">
        <f>1</f>
        <v>1</v>
      </c>
      <c r="F90" s="37">
        <f>10000</f>
        <v>10000</v>
      </c>
      <c r="G90" s="30">
        <v>100</v>
      </c>
      <c r="H90" s="37">
        <f t="shared" ref="H90:H95" si="20">G90*5000</f>
        <v>500000</v>
      </c>
      <c r="I90" s="30">
        <f>2+20</f>
        <v>22</v>
      </c>
      <c r="J90" s="384">
        <f>20000+200000</f>
        <v>220000</v>
      </c>
    </row>
    <row r="91" spans="1:10" s="2" customFormat="1" ht="14.25" customHeight="1" x14ac:dyDescent="0.25">
      <c r="A91" s="77"/>
      <c r="B91" s="75"/>
      <c r="C91" s="4"/>
      <c r="D91" s="83" t="s">
        <v>108</v>
      </c>
      <c r="E91" s="30">
        <f>2+1</f>
        <v>3</v>
      </c>
      <c r="F91" s="37">
        <f>20000+10000</f>
        <v>30000</v>
      </c>
      <c r="G91" s="30">
        <v>300</v>
      </c>
      <c r="H91" s="37">
        <f t="shared" si="20"/>
        <v>1500000</v>
      </c>
      <c r="I91" s="30"/>
      <c r="J91" s="384"/>
    </row>
    <row r="92" spans="1:10" s="2" customFormat="1" ht="14.25" customHeight="1" x14ac:dyDescent="0.25">
      <c r="A92" s="77"/>
      <c r="B92" s="75"/>
      <c r="C92" s="4"/>
      <c r="D92" s="83" t="s">
        <v>109</v>
      </c>
      <c r="E92" s="30"/>
      <c r="F92" s="37"/>
      <c r="G92" s="30">
        <v>240</v>
      </c>
      <c r="H92" s="37">
        <f t="shared" si="20"/>
        <v>1200000</v>
      </c>
      <c r="I92" s="30">
        <f>1+1</f>
        <v>2</v>
      </c>
      <c r="J92" s="384">
        <f>10000+10000</f>
        <v>20000</v>
      </c>
    </row>
    <row r="93" spans="1:10" s="2" customFormat="1" ht="14.25" customHeight="1" x14ac:dyDescent="0.25">
      <c r="A93" s="77"/>
      <c r="B93" s="75"/>
      <c r="C93" s="4"/>
      <c r="D93" s="83" t="s">
        <v>110</v>
      </c>
      <c r="E93" s="30">
        <f>147+4+7</f>
        <v>158</v>
      </c>
      <c r="F93" s="37">
        <f>1420000+450000</f>
        <v>1870000</v>
      </c>
      <c r="G93" s="30">
        <v>220</v>
      </c>
      <c r="H93" s="37">
        <f t="shared" si="20"/>
        <v>1100000</v>
      </c>
      <c r="I93" s="30">
        <f>1+22</f>
        <v>23</v>
      </c>
      <c r="J93" s="384">
        <f>5000+250000</f>
        <v>255000</v>
      </c>
    </row>
    <row r="94" spans="1:10" s="2" customFormat="1" ht="14.25" customHeight="1" x14ac:dyDescent="0.25">
      <c r="A94" s="77"/>
      <c r="B94" s="75"/>
      <c r="C94" s="4"/>
      <c r="D94" s="83" t="s">
        <v>111</v>
      </c>
      <c r="E94" s="30">
        <f>4</f>
        <v>4</v>
      </c>
      <c r="F94" s="37">
        <f>40000</f>
        <v>40000</v>
      </c>
      <c r="G94" s="30">
        <v>230</v>
      </c>
      <c r="H94" s="37">
        <f t="shared" si="20"/>
        <v>1150000</v>
      </c>
      <c r="I94" s="30">
        <f>170+20</f>
        <v>190</v>
      </c>
      <c r="J94" s="384">
        <f>1475000+100000</f>
        <v>1575000</v>
      </c>
    </row>
    <row r="95" spans="1:10" s="2" customFormat="1" ht="14.25" customHeight="1" x14ac:dyDescent="0.25">
      <c r="A95" s="77"/>
      <c r="B95" s="75"/>
      <c r="C95" s="4"/>
      <c r="D95" s="83" t="s">
        <v>112</v>
      </c>
      <c r="E95" s="30">
        <f>61+1</f>
        <v>62</v>
      </c>
      <c r="F95" s="37">
        <f>610000+10000</f>
        <v>620000</v>
      </c>
      <c r="G95" s="30">
        <v>210</v>
      </c>
      <c r="H95" s="37">
        <f t="shared" si="20"/>
        <v>1050000</v>
      </c>
      <c r="I95" s="30"/>
      <c r="J95" s="384"/>
    </row>
    <row r="96" spans="1:10" s="2" customFormat="1" ht="18.75" customHeight="1" x14ac:dyDescent="0.25">
      <c r="A96" s="77"/>
      <c r="B96" s="75"/>
      <c r="C96" s="63"/>
      <c r="D96" s="70" t="s">
        <v>98</v>
      </c>
      <c r="E96" s="70">
        <f t="shared" ref="E96:J96" si="21">SUM(E97:E100)</f>
        <v>87</v>
      </c>
      <c r="F96" s="84">
        <f t="shared" si="21"/>
        <v>860000</v>
      </c>
      <c r="G96" s="70">
        <f t="shared" si="21"/>
        <v>398</v>
      </c>
      <c r="H96" s="84">
        <f t="shared" si="21"/>
        <v>1990000</v>
      </c>
      <c r="I96" s="70">
        <f t="shared" si="21"/>
        <v>25</v>
      </c>
      <c r="J96" s="71">
        <f t="shared" si="21"/>
        <v>125000</v>
      </c>
    </row>
    <row r="97" spans="1:10" s="2" customFormat="1" ht="16.149999999999999" customHeight="1" x14ac:dyDescent="0.25">
      <c r="A97" s="77"/>
      <c r="B97" s="75"/>
      <c r="C97" s="4"/>
      <c r="D97" s="83" t="s">
        <v>113</v>
      </c>
      <c r="E97" s="30">
        <f>82</f>
        <v>82</v>
      </c>
      <c r="F97" s="37">
        <f>810000</f>
        <v>810000</v>
      </c>
      <c r="G97" s="30">
        <v>200</v>
      </c>
      <c r="H97" s="37">
        <f>G97*5000</f>
        <v>1000000</v>
      </c>
      <c r="I97" s="395"/>
      <c r="J97" s="17"/>
    </row>
    <row r="98" spans="1:10" s="2" customFormat="1" ht="14.25" customHeight="1" x14ac:dyDescent="0.25">
      <c r="A98" s="77"/>
      <c r="B98" s="75"/>
      <c r="C98" s="4"/>
      <c r="D98" s="83" t="s">
        <v>114</v>
      </c>
      <c r="E98" s="30">
        <f>1</f>
        <v>1</v>
      </c>
      <c r="F98" s="37">
        <f>10000</f>
        <v>10000</v>
      </c>
      <c r="G98" s="30"/>
      <c r="H98" s="37">
        <f>G98*5000</f>
        <v>0</v>
      </c>
      <c r="I98" s="395"/>
      <c r="J98" s="17"/>
    </row>
    <row r="99" spans="1:10" s="2" customFormat="1" ht="14.25" customHeight="1" x14ac:dyDescent="0.25">
      <c r="A99" s="77"/>
      <c r="B99" s="75"/>
      <c r="C99" s="4"/>
      <c r="D99" s="83" t="s">
        <v>115</v>
      </c>
      <c r="E99" s="30"/>
      <c r="F99" s="37"/>
      <c r="G99" s="30"/>
      <c r="H99" s="37">
        <f>G99*5000</f>
        <v>0</v>
      </c>
      <c r="I99" s="395"/>
      <c r="J99" s="17"/>
    </row>
    <row r="100" spans="1:10" s="2" customFormat="1" ht="14.25" customHeight="1" x14ac:dyDescent="0.25">
      <c r="A100" s="77"/>
      <c r="B100" s="75"/>
      <c r="C100" s="4"/>
      <c r="D100" s="83" t="s">
        <v>116</v>
      </c>
      <c r="E100" s="30">
        <f>4</f>
        <v>4</v>
      </c>
      <c r="F100" s="37">
        <f>40000</f>
        <v>40000</v>
      </c>
      <c r="G100" s="30">
        <v>198</v>
      </c>
      <c r="H100" s="37">
        <f>G100*5000</f>
        <v>990000</v>
      </c>
      <c r="I100" s="395">
        <f>25</f>
        <v>25</v>
      </c>
      <c r="J100" s="17">
        <f>125000</f>
        <v>125000</v>
      </c>
    </row>
    <row r="101" spans="1:10" s="2" customFormat="1" ht="18" customHeight="1" x14ac:dyDescent="0.25">
      <c r="A101" s="77"/>
      <c r="B101" s="75"/>
      <c r="C101" s="63"/>
      <c r="D101" s="70" t="s">
        <v>99</v>
      </c>
      <c r="E101" s="70">
        <f t="shared" ref="E101:J101" si="22">SUM(E102)</f>
        <v>135</v>
      </c>
      <c r="F101" s="84">
        <f t="shared" si="22"/>
        <v>1395000</v>
      </c>
      <c r="G101" s="70">
        <f t="shared" si="22"/>
        <v>320</v>
      </c>
      <c r="H101" s="84">
        <f t="shared" si="22"/>
        <v>1600000</v>
      </c>
      <c r="I101" s="70">
        <f t="shared" si="22"/>
        <v>73</v>
      </c>
      <c r="J101" s="84">
        <f t="shared" si="22"/>
        <v>370000</v>
      </c>
    </row>
    <row r="102" spans="1:10" s="2" customFormat="1" ht="14.25" customHeight="1" x14ac:dyDescent="0.25">
      <c r="A102" s="77"/>
      <c r="B102" s="75"/>
      <c r="C102" s="4"/>
      <c r="D102" s="83" t="s">
        <v>117</v>
      </c>
      <c r="E102" s="30">
        <f>120+15</f>
        <v>135</v>
      </c>
      <c r="F102" s="37">
        <f>1245000+150000</f>
        <v>1395000</v>
      </c>
      <c r="G102" s="30">
        <v>320</v>
      </c>
      <c r="H102" s="37">
        <f>G102*5000</f>
        <v>1600000</v>
      </c>
      <c r="I102" s="30">
        <f>1+1+30+40+1</f>
        <v>73</v>
      </c>
      <c r="J102" s="384">
        <f>5000+5000+150000+200000+10000</f>
        <v>370000</v>
      </c>
    </row>
    <row r="103" spans="1:10" s="8" customFormat="1" ht="8.25" customHeight="1" x14ac:dyDescent="0.25">
      <c r="A103" s="7"/>
      <c r="B103" s="7"/>
      <c r="C103" s="7"/>
      <c r="D103" s="7"/>
      <c r="E103" s="7"/>
      <c r="F103" s="93"/>
      <c r="G103" s="7"/>
      <c r="H103" s="93"/>
      <c r="I103" s="7"/>
      <c r="J103" s="7"/>
    </row>
    <row r="104" spans="1:10" s="9" customFormat="1" ht="15.75" customHeight="1" x14ac:dyDescent="0.25">
      <c r="A104" s="926" t="s">
        <v>6</v>
      </c>
      <c r="B104" s="831" t="s">
        <v>54</v>
      </c>
      <c r="C104" s="856" t="s">
        <v>20</v>
      </c>
      <c r="D104" s="132" t="s">
        <v>81</v>
      </c>
      <c r="E104" s="138">
        <f t="shared" ref="E104:J104" si="23">E105+E112+E120+E127+E132</f>
        <v>30981</v>
      </c>
      <c r="F104" s="135">
        <f t="shared" si="23"/>
        <v>48502341</v>
      </c>
      <c r="G104" s="138">
        <f t="shared" si="23"/>
        <v>53184</v>
      </c>
      <c r="H104" s="135">
        <f t="shared" si="23"/>
        <v>82967040</v>
      </c>
      <c r="I104" s="138">
        <f t="shared" si="23"/>
        <v>0</v>
      </c>
      <c r="J104" s="135">
        <f t="shared" si="23"/>
        <v>0</v>
      </c>
    </row>
    <row r="105" spans="1:10" s="9" customFormat="1" ht="20.25" customHeight="1" x14ac:dyDescent="0.25">
      <c r="A105" s="927"/>
      <c r="B105" s="832"/>
      <c r="C105" s="857"/>
      <c r="D105" s="70" t="s">
        <v>79</v>
      </c>
      <c r="E105" s="64">
        <f t="shared" ref="E105:J105" si="24">SUM(E106:E111)</f>
        <v>8409</v>
      </c>
      <c r="F105" s="78">
        <f t="shared" si="24"/>
        <v>13019321</v>
      </c>
      <c r="G105" s="64">
        <f t="shared" si="24"/>
        <v>11103</v>
      </c>
      <c r="H105" s="78">
        <f t="shared" si="24"/>
        <v>17320680</v>
      </c>
      <c r="I105" s="64">
        <f t="shared" si="24"/>
        <v>0</v>
      </c>
      <c r="J105" s="78">
        <f t="shared" si="24"/>
        <v>0</v>
      </c>
    </row>
    <row r="106" spans="1:10" s="22" customFormat="1" ht="14.25" customHeight="1" x14ac:dyDescent="0.25">
      <c r="A106" s="21"/>
      <c r="B106" s="832"/>
      <c r="C106" s="857"/>
      <c r="D106" s="83" t="s">
        <v>91</v>
      </c>
      <c r="E106" s="30">
        <v>1148</v>
      </c>
      <c r="F106" s="37">
        <v>1804680</v>
      </c>
      <c r="G106" s="4">
        <v>1377</v>
      </c>
      <c r="H106" s="17">
        <v>2148120</v>
      </c>
      <c r="I106" s="395"/>
      <c r="J106" s="17"/>
    </row>
    <row r="107" spans="1:10" s="22" customFormat="1" x14ac:dyDescent="0.25">
      <c r="A107" s="21"/>
      <c r="B107" s="833"/>
      <c r="C107" s="857"/>
      <c r="D107" s="83" t="s">
        <v>92</v>
      </c>
      <c r="E107" s="30">
        <f>1164+252</f>
        <v>1416</v>
      </c>
      <c r="F107" s="37">
        <f>1829840+196501</f>
        <v>2026341</v>
      </c>
      <c r="G107" s="4">
        <v>1450</v>
      </c>
      <c r="H107" s="17">
        <v>2262000</v>
      </c>
      <c r="I107" s="395"/>
      <c r="J107" s="17"/>
    </row>
    <row r="108" spans="1:10" s="22" customFormat="1" x14ac:dyDescent="0.25">
      <c r="A108" s="21"/>
      <c r="B108" s="21"/>
      <c r="C108" s="857"/>
      <c r="D108" s="83" t="s">
        <v>93</v>
      </c>
      <c r="E108" s="30">
        <v>3207</v>
      </c>
      <c r="F108" s="37">
        <v>5041370</v>
      </c>
      <c r="G108" s="4">
        <v>3900</v>
      </c>
      <c r="H108" s="17">
        <v>6084000</v>
      </c>
      <c r="I108" s="395"/>
      <c r="J108" s="17"/>
    </row>
    <row r="109" spans="1:10" s="22" customFormat="1" x14ac:dyDescent="0.25">
      <c r="A109" s="21"/>
      <c r="B109" s="21"/>
      <c r="C109" s="857"/>
      <c r="D109" s="83" t="s">
        <v>94</v>
      </c>
      <c r="E109" s="30">
        <f>1238</f>
        <v>1238</v>
      </c>
      <c r="F109" s="37">
        <f>1946130</f>
        <v>1946130</v>
      </c>
      <c r="G109" s="4">
        <v>1486</v>
      </c>
      <c r="H109" s="17">
        <v>2318160</v>
      </c>
      <c r="I109" s="395"/>
      <c r="J109" s="17"/>
    </row>
    <row r="110" spans="1:10" s="22" customFormat="1" x14ac:dyDescent="0.25">
      <c r="A110" s="21"/>
      <c r="B110" s="21"/>
      <c r="C110" s="857"/>
      <c r="D110" s="83" t="s">
        <v>95</v>
      </c>
      <c r="E110" s="30"/>
      <c r="F110" s="37"/>
      <c r="G110" s="4">
        <v>1210</v>
      </c>
      <c r="H110" s="17">
        <v>1887600</v>
      </c>
      <c r="I110" s="395"/>
      <c r="J110" s="17"/>
    </row>
    <row r="111" spans="1:10" s="22" customFormat="1" x14ac:dyDescent="0.25">
      <c r="A111" s="21"/>
      <c r="B111" s="21"/>
      <c r="C111" s="921"/>
      <c r="D111" s="83" t="s">
        <v>96</v>
      </c>
      <c r="E111" s="30">
        <v>1400</v>
      </c>
      <c r="F111" s="37">
        <v>2200800</v>
      </c>
      <c r="G111" s="4">
        <v>1680</v>
      </c>
      <c r="H111" s="17">
        <v>2620800</v>
      </c>
      <c r="I111" s="395"/>
      <c r="J111" s="17"/>
    </row>
    <row r="112" spans="1:10" s="2" customFormat="1" ht="18" customHeight="1" x14ac:dyDescent="0.25">
      <c r="A112" s="77"/>
      <c r="B112" s="75"/>
      <c r="C112" s="63"/>
      <c r="D112" s="70" t="s">
        <v>80</v>
      </c>
      <c r="E112" s="70">
        <f t="shared" ref="E112:J112" si="25">SUM(E113:E119)</f>
        <v>10075</v>
      </c>
      <c r="F112" s="84">
        <f t="shared" si="25"/>
        <v>15837800</v>
      </c>
      <c r="G112" s="70">
        <f t="shared" si="25"/>
        <v>13130</v>
      </c>
      <c r="H112" s="84">
        <f t="shared" si="25"/>
        <v>20482800</v>
      </c>
      <c r="I112" s="70">
        <f t="shared" si="25"/>
        <v>0</v>
      </c>
      <c r="J112" s="71">
        <f t="shared" si="25"/>
        <v>0</v>
      </c>
    </row>
    <row r="113" spans="1:10" s="2" customFormat="1" ht="14.25" customHeight="1" x14ac:dyDescent="0.25">
      <c r="A113" s="77"/>
      <c r="B113" s="75"/>
      <c r="C113" s="4"/>
      <c r="D113" s="83" t="s">
        <v>100</v>
      </c>
      <c r="E113" s="30">
        <v>1021</v>
      </c>
      <c r="F113" s="37">
        <v>1605010</v>
      </c>
      <c r="G113" s="4">
        <v>1225</v>
      </c>
      <c r="H113" s="17">
        <v>1911000</v>
      </c>
      <c r="I113" s="395"/>
      <c r="J113" s="17"/>
    </row>
    <row r="114" spans="1:10" s="2" customFormat="1" ht="14.25" customHeight="1" x14ac:dyDescent="0.25">
      <c r="A114" s="77"/>
      <c r="B114" s="75"/>
      <c r="C114" s="4"/>
      <c r="D114" s="83" t="s">
        <v>101</v>
      </c>
      <c r="E114" s="30">
        <v>2898</v>
      </c>
      <c r="F114" s="37">
        <v>4555580</v>
      </c>
      <c r="G114" s="4">
        <v>3478</v>
      </c>
      <c r="H114" s="17">
        <v>5425680</v>
      </c>
      <c r="I114" s="395"/>
      <c r="J114" s="17"/>
    </row>
    <row r="115" spans="1:10" s="2" customFormat="1" ht="14.25" customHeight="1" x14ac:dyDescent="0.25">
      <c r="A115" s="77"/>
      <c r="B115" s="75"/>
      <c r="C115" s="4"/>
      <c r="D115" s="83" t="s">
        <v>102</v>
      </c>
      <c r="E115" s="30"/>
      <c r="F115" s="37"/>
      <c r="G115" s="4">
        <v>1039</v>
      </c>
      <c r="H115" s="17">
        <v>1620840</v>
      </c>
      <c r="I115" s="395"/>
      <c r="J115" s="17"/>
    </row>
    <row r="116" spans="1:10" s="2" customFormat="1" ht="14.25" customHeight="1" x14ac:dyDescent="0.25">
      <c r="A116" s="77"/>
      <c r="B116" s="75"/>
      <c r="C116" s="4"/>
      <c r="D116" s="83" t="s">
        <v>103</v>
      </c>
      <c r="E116" s="30">
        <f>1503</f>
        <v>1503</v>
      </c>
      <c r="F116" s="37">
        <f>2362730</f>
        <v>2362730</v>
      </c>
      <c r="G116" s="4">
        <v>1804</v>
      </c>
      <c r="H116" s="17">
        <v>2814240</v>
      </c>
      <c r="I116" s="395"/>
      <c r="J116" s="17"/>
    </row>
    <row r="117" spans="1:10" s="2" customFormat="1" ht="14.25" customHeight="1" x14ac:dyDescent="0.25">
      <c r="A117" s="77"/>
      <c r="B117" s="75"/>
      <c r="C117" s="4"/>
      <c r="D117" s="83" t="s">
        <v>104</v>
      </c>
      <c r="E117" s="30">
        <v>1428</v>
      </c>
      <c r="F117" s="37">
        <v>2244780</v>
      </c>
      <c r="G117" s="4">
        <v>1714</v>
      </c>
      <c r="H117" s="17">
        <v>2673840</v>
      </c>
      <c r="I117" s="395"/>
      <c r="J117" s="17"/>
    </row>
    <row r="118" spans="1:10" s="2" customFormat="1" ht="14.25" customHeight="1" x14ac:dyDescent="0.25">
      <c r="A118" s="77"/>
      <c r="B118" s="75"/>
      <c r="C118" s="4"/>
      <c r="D118" s="83" t="s">
        <v>105</v>
      </c>
      <c r="E118" s="30">
        <v>1350</v>
      </c>
      <c r="F118" s="37">
        <v>2122200</v>
      </c>
      <c r="G118" s="4">
        <v>1620</v>
      </c>
      <c r="H118" s="17">
        <v>2527200</v>
      </c>
      <c r="I118" s="395"/>
      <c r="J118" s="17"/>
    </row>
    <row r="119" spans="1:10" s="2" customFormat="1" ht="14.25" customHeight="1" x14ac:dyDescent="0.25">
      <c r="A119" s="77"/>
      <c r="B119" s="75"/>
      <c r="C119" s="4"/>
      <c r="D119" s="83" t="s">
        <v>106</v>
      </c>
      <c r="E119" s="30">
        <v>1875</v>
      </c>
      <c r="F119" s="37">
        <f>2947500</f>
        <v>2947500</v>
      </c>
      <c r="G119" s="4">
        <v>2250</v>
      </c>
      <c r="H119" s="17">
        <v>3510000</v>
      </c>
      <c r="I119" s="395"/>
      <c r="J119" s="17"/>
    </row>
    <row r="120" spans="1:10" s="2" customFormat="1" ht="24" customHeight="1" x14ac:dyDescent="0.25">
      <c r="A120" s="77"/>
      <c r="B120" s="75"/>
      <c r="C120" s="63"/>
      <c r="D120" s="70" t="s">
        <v>97</v>
      </c>
      <c r="E120" s="70">
        <f t="shared" ref="E120:J120" si="26">SUM(E121:E126)</f>
        <v>5900</v>
      </c>
      <c r="F120" s="84">
        <f t="shared" si="26"/>
        <v>9274800</v>
      </c>
      <c r="G120" s="70">
        <f t="shared" si="26"/>
        <v>14195</v>
      </c>
      <c r="H120" s="84">
        <f t="shared" si="26"/>
        <v>22144200</v>
      </c>
      <c r="I120" s="70">
        <f t="shared" si="26"/>
        <v>0</v>
      </c>
      <c r="J120" s="71">
        <f t="shared" si="26"/>
        <v>0</v>
      </c>
    </row>
    <row r="121" spans="1:10" s="2" customFormat="1" ht="14.25" customHeight="1" x14ac:dyDescent="0.25">
      <c r="A121" s="77"/>
      <c r="B121" s="75"/>
      <c r="C121" s="4"/>
      <c r="D121" s="83" t="s">
        <v>107</v>
      </c>
      <c r="E121" s="30">
        <v>1300</v>
      </c>
      <c r="F121" s="37">
        <v>2043600</v>
      </c>
      <c r="G121" s="4">
        <v>1644</v>
      </c>
      <c r="H121" s="17">
        <v>2564640</v>
      </c>
      <c r="I121" s="395"/>
      <c r="J121" s="17"/>
    </row>
    <row r="122" spans="1:10" s="2" customFormat="1" ht="14.25" customHeight="1" x14ac:dyDescent="0.25">
      <c r="A122" s="77"/>
      <c r="B122" s="75"/>
      <c r="C122" s="4"/>
      <c r="D122" s="83" t="s">
        <v>108</v>
      </c>
      <c r="E122" s="30"/>
      <c r="F122" s="37"/>
      <c r="G122" s="4">
        <v>1760</v>
      </c>
      <c r="H122" s="17">
        <v>2745600</v>
      </c>
      <c r="I122" s="395"/>
      <c r="J122" s="17"/>
    </row>
    <row r="123" spans="1:10" s="2" customFormat="1" ht="14.25" customHeight="1" x14ac:dyDescent="0.25">
      <c r="A123" s="77"/>
      <c r="B123" s="75"/>
      <c r="C123" s="4"/>
      <c r="D123" s="83" t="s">
        <v>109</v>
      </c>
      <c r="E123" s="30"/>
      <c r="F123" s="37"/>
      <c r="G123" s="4">
        <v>2231</v>
      </c>
      <c r="H123" s="17">
        <v>3480360</v>
      </c>
      <c r="I123" s="395"/>
      <c r="J123" s="17"/>
    </row>
    <row r="124" spans="1:10" s="2" customFormat="1" ht="14.25" customHeight="1" x14ac:dyDescent="0.25">
      <c r="A124" s="77"/>
      <c r="B124" s="75"/>
      <c r="C124" s="4"/>
      <c r="D124" s="83" t="s">
        <v>110</v>
      </c>
      <c r="E124" s="30">
        <v>1900</v>
      </c>
      <c r="F124" s="37">
        <v>2986800</v>
      </c>
      <c r="G124" s="4">
        <v>2780</v>
      </c>
      <c r="H124" s="17">
        <v>4336800</v>
      </c>
      <c r="I124" s="395"/>
      <c r="J124" s="17"/>
    </row>
    <row r="125" spans="1:10" s="2" customFormat="1" ht="14.25" customHeight="1" x14ac:dyDescent="0.25">
      <c r="A125" s="77"/>
      <c r="B125" s="75"/>
      <c r="C125" s="4"/>
      <c r="D125" s="83" t="s">
        <v>111</v>
      </c>
      <c r="E125" s="30">
        <v>2700</v>
      </c>
      <c r="F125" s="37">
        <v>4244400</v>
      </c>
      <c r="G125" s="4">
        <v>3240</v>
      </c>
      <c r="H125" s="17">
        <v>5054400</v>
      </c>
      <c r="I125" s="395"/>
      <c r="J125" s="17"/>
    </row>
    <row r="126" spans="1:10" s="2" customFormat="1" ht="14.25" customHeight="1" x14ac:dyDescent="0.25">
      <c r="A126" s="77"/>
      <c r="B126" s="75"/>
      <c r="C126" s="4"/>
      <c r="D126" s="83" t="s">
        <v>112</v>
      </c>
      <c r="E126" s="30"/>
      <c r="F126" s="37"/>
      <c r="G126" s="4">
        <v>2540</v>
      </c>
      <c r="H126" s="17">
        <v>3962400</v>
      </c>
      <c r="I126" s="395"/>
      <c r="J126" s="17"/>
    </row>
    <row r="127" spans="1:10" s="2" customFormat="1" ht="24" customHeight="1" x14ac:dyDescent="0.25">
      <c r="A127" s="77"/>
      <c r="B127" s="75"/>
      <c r="C127" s="63"/>
      <c r="D127" s="70" t="s">
        <v>98</v>
      </c>
      <c r="E127" s="70">
        <f t="shared" ref="E127:J127" si="27">SUM(E128:E131)</f>
        <v>6597</v>
      </c>
      <c r="F127" s="84">
        <f t="shared" si="27"/>
        <v>10370420</v>
      </c>
      <c r="G127" s="70">
        <f t="shared" si="27"/>
        <v>8496</v>
      </c>
      <c r="H127" s="84">
        <f t="shared" si="27"/>
        <v>13253760</v>
      </c>
      <c r="I127" s="70">
        <f t="shared" si="27"/>
        <v>0</v>
      </c>
      <c r="J127" s="71">
        <f t="shared" si="27"/>
        <v>0</v>
      </c>
    </row>
    <row r="128" spans="1:10" s="2" customFormat="1" ht="14.25" customHeight="1" x14ac:dyDescent="0.25">
      <c r="A128" s="77"/>
      <c r="B128" s="75"/>
      <c r="C128" s="4"/>
      <c r="D128" s="83" t="s">
        <v>113</v>
      </c>
      <c r="E128" s="30">
        <v>2139</v>
      </c>
      <c r="F128" s="37">
        <v>3362490</v>
      </c>
      <c r="G128" s="4">
        <v>3067</v>
      </c>
      <c r="H128" s="17">
        <v>4784520</v>
      </c>
      <c r="I128" s="395"/>
      <c r="J128" s="17"/>
    </row>
    <row r="129" spans="1:10" s="2" customFormat="1" ht="14.25" customHeight="1" x14ac:dyDescent="0.25">
      <c r="A129" s="77"/>
      <c r="B129" s="75"/>
      <c r="C129" s="4"/>
      <c r="D129" s="83" t="s">
        <v>114</v>
      </c>
      <c r="E129" s="30">
        <f>971+486</f>
        <v>1457</v>
      </c>
      <c r="F129" s="37">
        <f>1526410+763960</f>
        <v>2290370</v>
      </c>
      <c r="G129" s="4">
        <v>1800</v>
      </c>
      <c r="H129" s="17">
        <v>2808000</v>
      </c>
      <c r="I129" s="395"/>
      <c r="J129" s="17"/>
    </row>
    <row r="130" spans="1:10" s="2" customFormat="1" ht="14.25" customHeight="1" x14ac:dyDescent="0.25">
      <c r="A130" s="77"/>
      <c r="B130" s="75"/>
      <c r="C130" s="4"/>
      <c r="D130" s="83" t="s">
        <v>115</v>
      </c>
      <c r="E130" s="30">
        <v>560</v>
      </c>
      <c r="F130" s="37">
        <v>880300</v>
      </c>
      <c r="G130" s="4">
        <v>700</v>
      </c>
      <c r="H130" s="17">
        <v>1092000</v>
      </c>
      <c r="I130" s="395"/>
      <c r="J130" s="17"/>
    </row>
    <row r="131" spans="1:10" s="2" customFormat="1" ht="14.25" customHeight="1" x14ac:dyDescent="0.25">
      <c r="A131" s="77"/>
      <c r="B131" s="75"/>
      <c r="C131" s="4"/>
      <c r="D131" s="83" t="s">
        <v>116</v>
      </c>
      <c r="E131" s="30">
        <v>2441</v>
      </c>
      <c r="F131" s="37">
        <v>3837260</v>
      </c>
      <c r="G131" s="4">
        <v>2929</v>
      </c>
      <c r="H131" s="17">
        <v>4569240</v>
      </c>
      <c r="I131" s="395"/>
      <c r="J131" s="17"/>
    </row>
    <row r="132" spans="1:10" s="2" customFormat="1" ht="24" customHeight="1" x14ac:dyDescent="0.25">
      <c r="A132" s="77"/>
      <c r="B132" s="75"/>
      <c r="C132" s="63"/>
      <c r="D132" s="70" t="s">
        <v>99</v>
      </c>
      <c r="E132" s="70">
        <f t="shared" ref="E132:J132" si="28">SUM(E133)</f>
        <v>0</v>
      </c>
      <c r="F132" s="84">
        <f t="shared" si="28"/>
        <v>0</v>
      </c>
      <c r="G132" s="70">
        <f t="shared" si="28"/>
        <v>6260</v>
      </c>
      <c r="H132" s="84">
        <f t="shared" si="28"/>
        <v>9765600</v>
      </c>
      <c r="I132" s="70">
        <f t="shared" si="28"/>
        <v>0</v>
      </c>
      <c r="J132" s="84">
        <f t="shared" si="28"/>
        <v>0</v>
      </c>
    </row>
    <row r="133" spans="1:10" s="2" customFormat="1" ht="14.25" customHeight="1" x14ac:dyDescent="0.25">
      <c r="A133" s="77"/>
      <c r="B133" s="75"/>
      <c r="C133" s="4"/>
      <c r="D133" s="83" t="s">
        <v>117</v>
      </c>
      <c r="E133" s="30"/>
      <c r="F133" s="37"/>
      <c r="G133" s="4">
        <v>6260</v>
      </c>
      <c r="H133" s="17">
        <v>9765600</v>
      </c>
      <c r="I133" s="395"/>
      <c r="J133" s="17"/>
    </row>
    <row r="134" spans="1:10" s="8" customFormat="1" ht="8.25" customHeight="1" x14ac:dyDescent="0.25">
      <c r="A134" s="7"/>
      <c r="B134" s="7"/>
      <c r="C134" s="7"/>
      <c r="D134" s="7"/>
      <c r="E134" s="7"/>
      <c r="F134" s="93"/>
      <c r="G134" s="7"/>
      <c r="H134" s="93"/>
      <c r="I134" s="7"/>
      <c r="J134" s="7"/>
    </row>
    <row r="135" spans="1:10" s="9" customFormat="1" ht="21.75" customHeight="1" x14ac:dyDescent="0.25">
      <c r="A135" s="6" t="s">
        <v>16</v>
      </c>
      <c r="B135" s="856" t="s">
        <v>55</v>
      </c>
      <c r="C135" s="856" t="s">
        <v>19</v>
      </c>
      <c r="D135" s="132" t="s">
        <v>81</v>
      </c>
      <c r="E135" s="138">
        <f t="shared" ref="E135:J135" si="29">E136+E143+E151+E158+E163</f>
        <v>2869</v>
      </c>
      <c r="F135" s="135">
        <f t="shared" si="29"/>
        <v>17214000</v>
      </c>
      <c r="G135" s="138">
        <f t="shared" si="29"/>
        <v>2869</v>
      </c>
      <c r="H135" s="135">
        <f t="shared" si="29"/>
        <v>32478000</v>
      </c>
      <c r="I135" s="138">
        <f t="shared" si="29"/>
        <v>39</v>
      </c>
      <c r="J135" s="135">
        <f t="shared" si="29"/>
        <v>56500</v>
      </c>
    </row>
    <row r="136" spans="1:10" s="9" customFormat="1" ht="21" customHeight="1" x14ac:dyDescent="0.25">
      <c r="A136" s="6"/>
      <c r="B136" s="857"/>
      <c r="C136" s="857"/>
      <c r="D136" s="70" t="s">
        <v>79</v>
      </c>
      <c r="E136" s="64">
        <f t="shared" ref="E136:J136" si="30">SUM(E137:E142)</f>
        <v>677</v>
      </c>
      <c r="F136" s="78">
        <f t="shared" si="30"/>
        <v>4062000</v>
      </c>
      <c r="G136" s="64">
        <f t="shared" si="30"/>
        <v>677</v>
      </c>
      <c r="H136" s="78">
        <f t="shared" si="30"/>
        <v>4062000</v>
      </c>
      <c r="I136" s="64">
        <f t="shared" si="30"/>
        <v>18</v>
      </c>
      <c r="J136" s="78">
        <f t="shared" si="30"/>
        <v>25500</v>
      </c>
    </row>
    <row r="137" spans="1:10" s="1" customFormat="1" ht="18" customHeight="1" x14ac:dyDescent="0.25">
      <c r="A137" s="5"/>
      <c r="B137" s="857"/>
      <c r="C137" s="857"/>
      <c r="D137" s="83" t="s">
        <v>91</v>
      </c>
      <c r="E137" s="30">
        <v>115</v>
      </c>
      <c r="F137" s="31">
        <f t="shared" ref="F137:F142" si="31">E137*500*12</f>
        <v>690000</v>
      </c>
      <c r="G137" s="30">
        <v>115</v>
      </c>
      <c r="H137" s="17">
        <f t="shared" ref="H137:H142" si="32">G137*500*12</f>
        <v>690000</v>
      </c>
      <c r="I137" s="20"/>
      <c r="J137" s="17"/>
    </row>
    <row r="138" spans="1:10" s="1" customFormat="1" x14ac:dyDescent="0.25">
      <c r="A138" s="5"/>
      <c r="B138" s="921"/>
      <c r="C138" s="857"/>
      <c r="D138" s="83" t="s">
        <v>92</v>
      </c>
      <c r="E138" s="30">
        <v>101</v>
      </c>
      <c r="F138" s="31">
        <f t="shared" si="31"/>
        <v>606000</v>
      </c>
      <c r="G138" s="30">
        <v>101</v>
      </c>
      <c r="H138" s="17">
        <f t="shared" si="32"/>
        <v>606000</v>
      </c>
      <c r="I138" s="20">
        <v>18</v>
      </c>
      <c r="J138" s="17">
        <v>25500</v>
      </c>
    </row>
    <row r="139" spans="1:10" s="1" customFormat="1" x14ac:dyDescent="0.25">
      <c r="A139" s="5"/>
      <c r="B139" s="5"/>
      <c r="C139" s="857"/>
      <c r="D139" s="83" t="s">
        <v>93</v>
      </c>
      <c r="E139" s="30">
        <v>152</v>
      </c>
      <c r="F139" s="31">
        <f t="shared" si="31"/>
        <v>912000</v>
      </c>
      <c r="G139" s="30">
        <v>152</v>
      </c>
      <c r="H139" s="17">
        <f t="shared" si="32"/>
        <v>912000</v>
      </c>
      <c r="I139" s="20"/>
      <c r="J139" s="17"/>
    </row>
    <row r="140" spans="1:10" s="1" customFormat="1" x14ac:dyDescent="0.25">
      <c r="A140" s="5"/>
      <c r="B140" s="5"/>
      <c r="C140" s="857"/>
      <c r="D140" s="83" t="s">
        <v>94</v>
      </c>
      <c r="E140" s="30">
        <v>126</v>
      </c>
      <c r="F140" s="31">
        <f t="shared" si="31"/>
        <v>756000</v>
      </c>
      <c r="G140" s="30">
        <v>126</v>
      </c>
      <c r="H140" s="17">
        <f t="shared" si="32"/>
        <v>756000</v>
      </c>
      <c r="I140" s="20"/>
      <c r="J140" s="17"/>
    </row>
    <row r="141" spans="1:10" s="1" customFormat="1" x14ac:dyDescent="0.25">
      <c r="A141" s="5"/>
      <c r="B141" s="5"/>
      <c r="C141" s="857"/>
      <c r="D141" s="83" t="s">
        <v>95</v>
      </c>
      <c r="E141" s="30">
        <v>86</v>
      </c>
      <c r="F141" s="31">
        <f t="shared" si="31"/>
        <v>516000</v>
      </c>
      <c r="G141" s="30">
        <v>86</v>
      </c>
      <c r="H141" s="17">
        <f t="shared" si="32"/>
        <v>516000</v>
      </c>
      <c r="I141" s="20"/>
      <c r="J141" s="17"/>
    </row>
    <row r="142" spans="1:10" s="1" customFormat="1" x14ac:dyDescent="0.25">
      <c r="A142" s="5"/>
      <c r="B142" s="5"/>
      <c r="C142" s="857"/>
      <c r="D142" s="83" t="s">
        <v>96</v>
      </c>
      <c r="E142" s="30">
        <v>97</v>
      </c>
      <c r="F142" s="31">
        <f t="shared" si="31"/>
        <v>582000</v>
      </c>
      <c r="G142" s="30">
        <v>97</v>
      </c>
      <c r="H142" s="17">
        <f t="shared" si="32"/>
        <v>582000</v>
      </c>
      <c r="I142" s="20"/>
      <c r="J142" s="17"/>
    </row>
    <row r="143" spans="1:10" s="2" customFormat="1" ht="18.75" customHeight="1" x14ac:dyDescent="0.25">
      <c r="A143" s="77"/>
      <c r="B143" s="75"/>
      <c r="C143" s="63"/>
      <c r="D143" s="70" t="s">
        <v>80</v>
      </c>
      <c r="E143" s="70">
        <f t="shared" ref="E143:J143" si="33">SUM(E144:E150)</f>
        <v>698</v>
      </c>
      <c r="F143" s="84">
        <f t="shared" si="33"/>
        <v>4188000</v>
      </c>
      <c r="G143" s="70">
        <f t="shared" si="33"/>
        <v>698</v>
      </c>
      <c r="H143" s="84">
        <f t="shared" si="33"/>
        <v>10080000</v>
      </c>
      <c r="I143" s="70">
        <f t="shared" si="33"/>
        <v>0</v>
      </c>
      <c r="J143" s="71">
        <f t="shared" si="33"/>
        <v>0</v>
      </c>
    </row>
    <row r="144" spans="1:10" s="2" customFormat="1" ht="14.25" customHeight="1" x14ac:dyDescent="0.25">
      <c r="A144" s="77"/>
      <c r="B144" s="75"/>
      <c r="C144" s="4"/>
      <c r="D144" s="83" t="s">
        <v>100</v>
      </c>
      <c r="E144" s="30">
        <v>85</v>
      </c>
      <c r="F144" s="31">
        <f t="shared" ref="F144:F150" si="34">E144*500*12</f>
        <v>510000</v>
      </c>
      <c r="G144" s="30">
        <v>85</v>
      </c>
      <c r="H144" s="17">
        <v>1380000</v>
      </c>
      <c r="I144" s="395"/>
      <c r="J144" s="17"/>
    </row>
    <row r="145" spans="1:10" s="2" customFormat="1" ht="14.25" customHeight="1" x14ac:dyDescent="0.25">
      <c r="A145" s="77"/>
      <c r="B145" s="75"/>
      <c r="C145" s="4"/>
      <c r="D145" s="83" t="s">
        <v>101</v>
      </c>
      <c r="E145" s="30">
        <v>151</v>
      </c>
      <c r="F145" s="31">
        <f t="shared" si="34"/>
        <v>906000</v>
      </c>
      <c r="G145" s="30">
        <v>151</v>
      </c>
      <c r="H145" s="17">
        <v>1866000</v>
      </c>
      <c r="I145" s="395"/>
      <c r="J145" s="17"/>
    </row>
    <row r="146" spans="1:10" s="2" customFormat="1" ht="14.25" customHeight="1" x14ac:dyDescent="0.25">
      <c r="A146" s="77"/>
      <c r="B146" s="75"/>
      <c r="C146" s="4"/>
      <c r="D146" s="83" t="s">
        <v>102</v>
      </c>
      <c r="E146" s="30">
        <v>83</v>
      </c>
      <c r="F146" s="31">
        <f t="shared" si="34"/>
        <v>498000</v>
      </c>
      <c r="G146" s="30">
        <v>83</v>
      </c>
      <c r="H146" s="17">
        <v>1200000</v>
      </c>
      <c r="I146" s="395"/>
      <c r="J146" s="17"/>
    </row>
    <row r="147" spans="1:10" s="2" customFormat="1" ht="14.25" customHeight="1" x14ac:dyDescent="0.25">
      <c r="A147" s="77"/>
      <c r="B147" s="75"/>
      <c r="C147" s="4"/>
      <c r="D147" s="83" t="s">
        <v>103</v>
      </c>
      <c r="E147" s="30">
        <v>86</v>
      </c>
      <c r="F147" s="31">
        <f t="shared" si="34"/>
        <v>516000</v>
      </c>
      <c r="G147" s="30">
        <v>86</v>
      </c>
      <c r="H147" s="17">
        <v>1356000</v>
      </c>
      <c r="I147" s="395"/>
      <c r="J147" s="17"/>
    </row>
    <row r="148" spans="1:10" s="2" customFormat="1" ht="14.25" customHeight="1" x14ac:dyDescent="0.25">
      <c r="A148" s="77"/>
      <c r="B148" s="75"/>
      <c r="C148" s="4"/>
      <c r="D148" s="83" t="s">
        <v>104</v>
      </c>
      <c r="E148" s="30">
        <v>77</v>
      </c>
      <c r="F148" s="31">
        <f t="shared" si="34"/>
        <v>462000</v>
      </c>
      <c r="G148" s="30">
        <v>77</v>
      </c>
      <c r="H148" s="17">
        <v>1302000</v>
      </c>
      <c r="I148" s="395"/>
      <c r="J148" s="17"/>
    </row>
    <row r="149" spans="1:10" s="2" customFormat="1" ht="14.25" customHeight="1" x14ac:dyDescent="0.25">
      <c r="A149" s="77"/>
      <c r="B149" s="75"/>
      <c r="C149" s="4"/>
      <c r="D149" s="83" t="s">
        <v>105</v>
      </c>
      <c r="E149" s="30">
        <v>85</v>
      </c>
      <c r="F149" s="31">
        <f t="shared" si="34"/>
        <v>510000</v>
      </c>
      <c r="G149" s="30">
        <v>85</v>
      </c>
      <c r="H149" s="17">
        <v>1380000</v>
      </c>
      <c r="I149" s="395"/>
      <c r="J149" s="17"/>
    </row>
    <row r="150" spans="1:10" s="2" customFormat="1" ht="14.25" customHeight="1" x14ac:dyDescent="0.25">
      <c r="A150" s="77"/>
      <c r="B150" s="75"/>
      <c r="C150" s="4"/>
      <c r="D150" s="83" t="s">
        <v>106</v>
      </c>
      <c r="E150" s="30">
        <v>131</v>
      </c>
      <c r="F150" s="31">
        <f t="shared" si="34"/>
        <v>786000</v>
      </c>
      <c r="G150" s="30">
        <v>131</v>
      </c>
      <c r="H150" s="17">
        <v>1596000</v>
      </c>
      <c r="I150" s="395"/>
      <c r="J150" s="17"/>
    </row>
    <row r="151" spans="1:10" s="2" customFormat="1" ht="19.5" customHeight="1" x14ac:dyDescent="0.25">
      <c r="A151" s="77"/>
      <c r="B151" s="75"/>
      <c r="C151" s="63"/>
      <c r="D151" s="70" t="s">
        <v>97</v>
      </c>
      <c r="E151" s="70">
        <f t="shared" ref="E151:J151" si="35">SUM(E152:E157)</f>
        <v>744</v>
      </c>
      <c r="F151" s="84">
        <f t="shared" si="35"/>
        <v>4464000</v>
      </c>
      <c r="G151" s="70">
        <f t="shared" si="35"/>
        <v>744</v>
      </c>
      <c r="H151" s="84">
        <f t="shared" si="35"/>
        <v>9456000</v>
      </c>
      <c r="I151" s="70">
        <f t="shared" si="35"/>
        <v>21</v>
      </c>
      <c r="J151" s="71">
        <f t="shared" si="35"/>
        <v>31000</v>
      </c>
    </row>
    <row r="152" spans="1:10" s="2" customFormat="1" ht="14.25" customHeight="1" x14ac:dyDescent="0.25">
      <c r="A152" s="77"/>
      <c r="B152" s="75"/>
      <c r="C152" s="4"/>
      <c r="D152" s="83" t="s">
        <v>107</v>
      </c>
      <c r="E152" s="30">
        <v>90</v>
      </c>
      <c r="F152" s="31">
        <f t="shared" ref="F152:F157" si="36">E152*500*12</f>
        <v>540000</v>
      </c>
      <c r="G152" s="30">
        <v>90</v>
      </c>
      <c r="H152" s="17">
        <v>1380000</v>
      </c>
      <c r="I152" s="395"/>
      <c r="J152" s="17"/>
    </row>
    <row r="153" spans="1:10" s="2" customFormat="1" ht="14.25" customHeight="1" x14ac:dyDescent="0.25">
      <c r="A153" s="77"/>
      <c r="B153" s="75"/>
      <c r="C153" s="4"/>
      <c r="D153" s="83" t="s">
        <v>108</v>
      </c>
      <c r="E153" s="30">
        <v>98</v>
      </c>
      <c r="F153" s="31">
        <f t="shared" si="36"/>
        <v>588000</v>
      </c>
      <c r="G153" s="30">
        <v>98</v>
      </c>
      <c r="H153" s="17">
        <v>1488000</v>
      </c>
      <c r="I153" s="395"/>
      <c r="J153" s="17"/>
    </row>
    <row r="154" spans="1:10" s="2" customFormat="1" ht="14.25" customHeight="1" x14ac:dyDescent="0.25">
      <c r="A154" s="77"/>
      <c r="B154" s="75"/>
      <c r="C154" s="4"/>
      <c r="D154" s="83" t="s">
        <v>109</v>
      </c>
      <c r="E154" s="30">
        <v>111</v>
      </c>
      <c r="F154" s="31">
        <f t="shared" si="36"/>
        <v>666000</v>
      </c>
      <c r="G154" s="30">
        <v>111</v>
      </c>
      <c r="H154" s="17">
        <v>1386000</v>
      </c>
      <c r="I154" s="395"/>
      <c r="J154" s="17"/>
    </row>
    <row r="155" spans="1:10" s="2" customFormat="1" ht="14.25" customHeight="1" x14ac:dyDescent="0.25">
      <c r="A155" s="77"/>
      <c r="B155" s="75"/>
      <c r="C155" s="4"/>
      <c r="D155" s="83" t="s">
        <v>110</v>
      </c>
      <c r="E155" s="30">
        <v>127</v>
      </c>
      <c r="F155" s="31">
        <f t="shared" si="36"/>
        <v>762000</v>
      </c>
      <c r="G155" s="30">
        <v>127</v>
      </c>
      <c r="H155" s="17">
        <v>1602000</v>
      </c>
      <c r="I155" s="395"/>
      <c r="J155" s="17"/>
    </row>
    <row r="156" spans="1:10" s="2" customFormat="1" ht="14.25" customHeight="1" x14ac:dyDescent="0.25">
      <c r="A156" s="77"/>
      <c r="B156" s="75"/>
      <c r="C156" s="4"/>
      <c r="D156" s="83" t="s">
        <v>111</v>
      </c>
      <c r="E156" s="30">
        <v>195</v>
      </c>
      <c r="F156" s="31">
        <f t="shared" si="36"/>
        <v>1170000</v>
      </c>
      <c r="G156" s="30">
        <v>195</v>
      </c>
      <c r="H156" s="17">
        <v>1944000</v>
      </c>
      <c r="I156" s="395"/>
      <c r="J156" s="17"/>
    </row>
    <row r="157" spans="1:10" s="2" customFormat="1" ht="14.25" customHeight="1" x14ac:dyDescent="0.25">
      <c r="A157" s="77"/>
      <c r="B157" s="75"/>
      <c r="C157" s="4"/>
      <c r="D157" s="83" t="s">
        <v>112</v>
      </c>
      <c r="E157" s="30">
        <v>123</v>
      </c>
      <c r="F157" s="31">
        <f t="shared" si="36"/>
        <v>738000</v>
      </c>
      <c r="G157" s="30">
        <v>123</v>
      </c>
      <c r="H157" s="17">
        <v>1656000</v>
      </c>
      <c r="I157" s="395">
        <v>21</v>
      </c>
      <c r="J157" s="17">
        <v>31000</v>
      </c>
    </row>
    <row r="158" spans="1:10" s="2" customFormat="1" ht="24" customHeight="1" x14ac:dyDescent="0.25">
      <c r="A158" s="77"/>
      <c r="B158" s="75"/>
      <c r="C158" s="63"/>
      <c r="D158" s="70" t="s">
        <v>98</v>
      </c>
      <c r="E158" s="70">
        <f t="shared" ref="E158:J158" si="37">SUM(E159:E162)</f>
        <v>418</v>
      </c>
      <c r="F158" s="84">
        <f t="shared" si="37"/>
        <v>2508000</v>
      </c>
      <c r="G158" s="70">
        <f t="shared" si="37"/>
        <v>418</v>
      </c>
      <c r="H158" s="84">
        <f t="shared" si="37"/>
        <v>6288000</v>
      </c>
      <c r="I158" s="70">
        <f t="shared" si="37"/>
        <v>0</v>
      </c>
      <c r="J158" s="71">
        <f t="shared" si="37"/>
        <v>0</v>
      </c>
    </row>
    <row r="159" spans="1:10" s="2" customFormat="1" ht="14.25" customHeight="1" x14ac:dyDescent="0.25">
      <c r="A159" s="77"/>
      <c r="B159" s="75"/>
      <c r="C159" s="4"/>
      <c r="D159" s="83" t="s">
        <v>113</v>
      </c>
      <c r="E159" s="30">
        <v>92</v>
      </c>
      <c r="F159" s="31">
        <f>E159*500*12</f>
        <v>552000</v>
      </c>
      <c r="G159" s="30">
        <v>92</v>
      </c>
      <c r="H159" s="17">
        <v>1512000</v>
      </c>
      <c r="I159" s="395"/>
      <c r="J159" s="17"/>
    </row>
    <row r="160" spans="1:10" s="2" customFormat="1" ht="14.25" customHeight="1" x14ac:dyDescent="0.25">
      <c r="A160" s="77"/>
      <c r="B160" s="75"/>
      <c r="C160" s="4"/>
      <c r="D160" s="83" t="s">
        <v>114</v>
      </c>
      <c r="E160" s="30">
        <v>92</v>
      </c>
      <c r="F160" s="31">
        <f>E160*500*12</f>
        <v>552000</v>
      </c>
      <c r="G160" s="30">
        <v>92</v>
      </c>
      <c r="H160" s="17">
        <v>1572000</v>
      </c>
      <c r="I160" s="395"/>
      <c r="J160" s="17"/>
    </row>
    <row r="161" spans="1:10" s="2" customFormat="1" ht="14.25" customHeight="1" x14ac:dyDescent="0.25">
      <c r="A161" s="77"/>
      <c r="B161" s="75"/>
      <c r="C161" s="4"/>
      <c r="D161" s="83" t="s">
        <v>115</v>
      </c>
      <c r="E161" s="30">
        <v>108</v>
      </c>
      <c r="F161" s="31">
        <f>E161*500*12</f>
        <v>648000</v>
      </c>
      <c r="G161" s="30">
        <v>108</v>
      </c>
      <c r="H161" s="17">
        <v>1548000</v>
      </c>
      <c r="I161" s="395"/>
      <c r="J161" s="17"/>
    </row>
    <row r="162" spans="1:10" s="2" customFormat="1" ht="14.25" customHeight="1" x14ac:dyDescent="0.25">
      <c r="A162" s="77"/>
      <c r="B162" s="75"/>
      <c r="C162" s="4"/>
      <c r="D162" s="83" t="s">
        <v>116</v>
      </c>
      <c r="E162" s="30">
        <v>126</v>
      </c>
      <c r="F162" s="31">
        <f>E162*500*12</f>
        <v>756000</v>
      </c>
      <c r="G162" s="30">
        <v>126</v>
      </c>
      <c r="H162" s="17">
        <v>1656000</v>
      </c>
      <c r="I162" s="395"/>
      <c r="J162" s="17"/>
    </row>
    <row r="163" spans="1:10" s="2" customFormat="1" ht="24" customHeight="1" x14ac:dyDescent="0.25">
      <c r="A163" s="77"/>
      <c r="B163" s="75"/>
      <c r="C163" s="63"/>
      <c r="D163" s="70" t="s">
        <v>99</v>
      </c>
      <c r="E163" s="70">
        <f t="shared" ref="E163:J163" si="38">SUM(E164)</f>
        <v>332</v>
      </c>
      <c r="F163" s="84">
        <f t="shared" si="38"/>
        <v>1992000</v>
      </c>
      <c r="G163" s="70">
        <f t="shared" si="38"/>
        <v>332</v>
      </c>
      <c r="H163" s="84">
        <f t="shared" si="38"/>
        <v>2592000</v>
      </c>
      <c r="I163" s="70">
        <f t="shared" si="38"/>
        <v>0</v>
      </c>
      <c r="J163" s="84">
        <f t="shared" si="38"/>
        <v>0</v>
      </c>
    </row>
    <row r="164" spans="1:10" s="2" customFormat="1" ht="14.25" customHeight="1" x14ac:dyDescent="0.25">
      <c r="A164" s="77"/>
      <c r="B164" s="75"/>
      <c r="C164" s="4"/>
      <c r="D164" s="83" t="s">
        <v>117</v>
      </c>
      <c r="E164" s="30">
        <v>332</v>
      </c>
      <c r="F164" s="31">
        <f>E164*500*12</f>
        <v>1992000</v>
      </c>
      <c r="G164" s="30">
        <v>332</v>
      </c>
      <c r="H164" s="17">
        <v>2592000</v>
      </c>
      <c r="I164" s="395"/>
      <c r="J164" s="17"/>
    </row>
    <row r="165" spans="1:10" s="8" customFormat="1" ht="8.25" customHeight="1" x14ac:dyDescent="0.25">
      <c r="A165" s="7"/>
      <c r="B165" s="7"/>
      <c r="C165" s="7"/>
      <c r="D165" s="7"/>
      <c r="E165" s="7"/>
      <c r="F165" s="93"/>
      <c r="G165" s="7"/>
      <c r="H165" s="93"/>
      <c r="I165" s="7"/>
      <c r="J165" s="7"/>
    </row>
    <row r="166" spans="1:10" s="9" customFormat="1" ht="15.75" customHeight="1" x14ac:dyDescent="0.25">
      <c r="A166" s="926" t="s">
        <v>17</v>
      </c>
      <c r="B166" s="923" t="s">
        <v>56</v>
      </c>
      <c r="C166" s="926" t="s">
        <v>18</v>
      </c>
      <c r="D166" s="132" t="s">
        <v>81</v>
      </c>
      <c r="E166" s="138">
        <f t="shared" ref="E166:J166" si="39">E167+E174+E182+E189+E194</f>
        <v>161</v>
      </c>
      <c r="F166" s="135">
        <f t="shared" si="39"/>
        <v>415249</v>
      </c>
      <c r="G166" s="138">
        <f t="shared" si="39"/>
        <v>0</v>
      </c>
      <c r="H166" s="135">
        <f t="shared" si="39"/>
        <v>0</v>
      </c>
      <c r="I166" s="138">
        <f t="shared" si="39"/>
        <v>47</v>
      </c>
      <c r="J166" s="135">
        <f t="shared" si="39"/>
        <v>69820</v>
      </c>
    </row>
    <row r="167" spans="1:10" s="9" customFormat="1" ht="21.75" customHeight="1" x14ac:dyDescent="0.25">
      <c r="A167" s="927"/>
      <c r="B167" s="924"/>
      <c r="C167" s="927"/>
      <c r="D167" s="70" t="s">
        <v>79</v>
      </c>
      <c r="E167" s="64">
        <f>SUM(E168:E173)</f>
        <v>63</v>
      </c>
      <c r="F167" s="78">
        <f>SUM(F168:F173)</f>
        <v>86550</v>
      </c>
      <c r="G167" s="63"/>
      <c r="H167" s="78"/>
      <c r="I167" s="63"/>
      <c r="J167" s="63"/>
    </row>
    <row r="168" spans="1:10" s="1" customFormat="1" x14ac:dyDescent="0.25">
      <c r="A168" s="5"/>
      <c r="B168" s="924"/>
      <c r="C168" s="5"/>
      <c r="D168" s="83" t="s">
        <v>91</v>
      </c>
      <c r="E168" s="44">
        <f>1</f>
        <v>1</v>
      </c>
      <c r="F168" s="41">
        <f>1500</f>
        <v>1500</v>
      </c>
      <c r="G168" s="5"/>
      <c r="H168" s="17"/>
      <c r="I168" s="5"/>
      <c r="J168" s="395"/>
    </row>
    <row r="169" spans="1:10" s="1" customFormat="1" x14ac:dyDescent="0.25">
      <c r="A169" s="5"/>
      <c r="B169" s="924"/>
      <c r="C169" s="5"/>
      <c r="D169" s="83" t="s">
        <v>92</v>
      </c>
      <c r="E169" s="44">
        <f>1+4+3</f>
        <v>8</v>
      </c>
      <c r="F169" s="38">
        <f>1500+4100+4500</f>
        <v>10100</v>
      </c>
      <c r="G169" s="5"/>
      <c r="H169" s="17"/>
      <c r="I169" s="20">
        <f>5+2</f>
        <v>7</v>
      </c>
      <c r="J169" s="17">
        <f>10500+2500</f>
        <v>13000</v>
      </c>
    </row>
    <row r="170" spans="1:10" s="1" customFormat="1" x14ac:dyDescent="0.25">
      <c r="A170" s="5"/>
      <c r="B170" s="924"/>
      <c r="C170" s="5"/>
      <c r="D170" s="83" t="s">
        <v>93</v>
      </c>
      <c r="E170" s="44">
        <f>5+3+23+7</f>
        <v>38</v>
      </c>
      <c r="F170" s="39">
        <f>9000+3500+27000+12400</f>
        <v>51900</v>
      </c>
      <c r="G170" s="5"/>
      <c r="H170" s="17"/>
      <c r="I170" s="20">
        <f>7+2</f>
        <v>9</v>
      </c>
      <c r="J170" s="17">
        <f>10400+2500</f>
        <v>12900</v>
      </c>
    </row>
    <row r="171" spans="1:10" s="1" customFormat="1" x14ac:dyDescent="0.25">
      <c r="A171" s="5"/>
      <c r="B171" s="924"/>
      <c r="C171" s="5"/>
      <c r="D171" s="83" t="s">
        <v>94</v>
      </c>
      <c r="E171" s="44">
        <f>2+1+3</f>
        <v>6</v>
      </c>
      <c r="F171" s="39">
        <f>2500+1000+3500</f>
        <v>7000</v>
      </c>
      <c r="G171" s="5"/>
      <c r="H171" s="17"/>
      <c r="I171" s="20">
        <f>1</f>
        <v>1</v>
      </c>
      <c r="J171" s="17">
        <f>2000</f>
        <v>2000</v>
      </c>
    </row>
    <row r="172" spans="1:10" s="1" customFormat="1" x14ac:dyDescent="0.25">
      <c r="A172" s="5"/>
      <c r="B172" s="973"/>
      <c r="C172" s="5"/>
      <c r="D172" s="83" t="s">
        <v>95</v>
      </c>
      <c r="E172" s="44">
        <f>1+4+1</f>
        <v>6</v>
      </c>
      <c r="F172" s="39">
        <f>1500+5550+500</f>
        <v>7550</v>
      </c>
      <c r="G172" s="5"/>
      <c r="H172" s="17"/>
      <c r="I172" s="20">
        <f>1</f>
        <v>1</v>
      </c>
      <c r="J172" s="17">
        <f>500</f>
        <v>500</v>
      </c>
    </row>
    <row r="173" spans="1:10" s="1" customFormat="1" x14ac:dyDescent="0.25">
      <c r="A173" s="5"/>
      <c r="B173" s="5"/>
      <c r="C173" s="5"/>
      <c r="D173" s="83" t="s">
        <v>96</v>
      </c>
      <c r="E173" s="44">
        <f>2+1+1</f>
        <v>4</v>
      </c>
      <c r="F173" s="40">
        <f>2500+3000+3000</f>
        <v>8500</v>
      </c>
      <c r="G173" s="5"/>
      <c r="H173" s="17"/>
      <c r="I173" s="20">
        <f>1</f>
        <v>1</v>
      </c>
      <c r="J173" s="17">
        <f>850</f>
        <v>850</v>
      </c>
    </row>
    <row r="174" spans="1:10" s="2" customFormat="1" ht="18" customHeight="1" x14ac:dyDescent="0.25">
      <c r="A174" s="77"/>
      <c r="B174" s="75"/>
      <c r="C174" s="63"/>
      <c r="D174" s="70" t="s">
        <v>80</v>
      </c>
      <c r="E174" s="70">
        <f t="shared" ref="E174:J174" si="40">SUM(E175:E181)</f>
        <v>26</v>
      </c>
      <c r="F174" s="84">
        <f t="shared" si="40"/>
        <v>213075</v>
      </c>
      <c r="G174" s="70">
        <f t="shared" si="40"/>
        <v>0</v>
      </c>
      <c r="H174" s="84">
        <f t="shared" si="40"/>
        <v>0</v>
      </c>
      <c r="I174" s="70">
        <f t="shared" si="40"/>
        <v>22</v>
      </c>
      <c r="J174" s="71">
        <f t="shared" si="40"/>
        <v>35500</v>
      </c>
    </row>
    <row r="175" spans="1:10" s="2" customFormat="1" ht="14.25" customHeight="1" x14ac:dyDescent="0.25">
      <c r="A175" s="77"/>
      <c r="B175" s="75"/>
      <c r="C175" s="969" t="s">
        <v>213</v>
      </c>
      <c r="D175" s="83" t="s">
        <v>100</v>
      </c>
      <c r="E175" s="30">
        <f>1</f>
        <v>1</v>
      </c>
      <c r="F175" s="37">
        <f>1000</f>
        <v>1000</v>
      </c>
      <c r="G175" s="4"/>
      <c r="H175" s="17"/>
      <c r="I175" s="395">
        <f>2+1</f>
        <v>3</v>
      </c>
      <c r="J175" s="17">
        <f>3000+1500</f>
        <v>4500</v>
      </c>
    </row>
    <row r="176" spans="1:10" s="2" customFormat="1" ht="14.25" customHeight="1" x14ac:dyDescent="0.25">
      <c r="A176" s="77"/>
      <c r="B176" s="75"/>
      <c r="C176" s="970"/>
      <c r="D176" s="83" t="s">
        <v>101</v>
      </c>
      <c r="E176" s="30">
        <f>2+1+2</f>
        <v>5</v>
      </c>
      <c r="F176" s="37">
        <f>770+1000+40000</f>
        <v>41770</v>
      </c>
      <c r="G176" s="4"/>
      <c r="H176" s="17"/>
      <c r="I176" s="395"/>
      <c r="J176" s="17"/>
    </row>
    <row r="177" spans="1:10" s="2" customFormat="1" ht="14.25" customHeight="1" x14ac:dyDescent="0.25">
      <c r="A177" s="77"/>
      <c r="B177" s="75"/>
      <c r="C177" s="970"/>
      <c r="D177" s="83" t="s">
        <v>102</v>
      </c>
      <c r="E177" s="30">
        <f>2+1+1+1</f>
        <v>5</v>
      </c>
      <c r="F177" s="37">
        <f>175+580+20000+1000</f>
        <v>21755</v>
      </c>
      <c r="G177" s="4"/>
      <c r="H177" s="17"/>
      <c r="I177" s="395">
        <f>1+1</f>
        <v>2</v>
      </c>
      <c r="J177" s="17">
        <f>2000</f>
        <v>2000</v>
      </c>
    </row>
    <row r="178" spans="1:10" s="2" customFormat="1" ht="14.25" customHeight="1" x14ac:dyDescent="0.25">
      <c r="A178" s="77"/>
      <c r="B178" s="75"/>
      <c r="C178" s="970"/>
      <c r="D178" s="83" t="s">
        <v>103</v>
      </c>
      <c r="E178" s="30"/>
      <c r="F178" s="37"/>
      <c r="G178" s="4"/>
      <c r="H178" s="17"/>
      <c r="I178" s="395">
        <f>1</f>
        <v>1</v>
      </c>
      <c r="J178" s="17">
        <f>1500</f>
        <v>1500</v>
      </c>
    </row>
    <row r="179" spans="1:10" s="2" customFormat="1" ht="14.25" customHeight="1" x14ac:dyDescent="0.25">
      <c r="A179" s="77"/>
      <c r="B179" s="75"/>
      <c r="C179" s="970"/>
      <c r="D179" s="83" t="s">
        <v>104</v>
      </c>
      <c r="E179" s="30">
        <f>4+3+1</f>
        <v>8</v>
      </c>
      <c r="F179" s="37">
        <f>80000+3050+1000</f>
        <v>84050</v>
      </c>
      <c r="G179" s="4"/>
      <c r="H179" s="17"/>
      <c r="I179" s="395">
        <f>4+4</f>
        <v>8</v>
      </c>
      <c r="J179" s="17">
        <f>10500+5000</f>
        <v>15500</v>
      </c>
    </row>
    <row r="180" spans="1:10" s="2" customFormat="1" ht="14.25" customHeight="1" x14ac:dyDescent="0.25">
      <c r="A180" s="77"/>
      <c r="B180" s="75"/>
      <c r="C180" s="970"/>
      <c r="D180" s="83" t="s">
        <v>105</v>
      </c>
      <c r="E180" s="30"/>
      <c r="F180" s="37"/>
      <c r="G180" s="4"/>
      <c r="H180" s="17"/>
      <c r="I180" s="395">
        <f>2</f>
        <v>2</v>
      </c>
      <c r="J180" s="17">
        <f>3500</f>
        <v>3500</v>
      </c>
    </row>
    <row r="181" spans="1:10" s="2" customFormat="1" ht="14.25" customHeight="1" x14ac:dyDescent="0.25">
      <c r="A181" s="77"/>
      <c r="B181" s="75"/>
      <c r="C181" s="971"/>
      <c r="D181" s="83" t="s">
        <v>106</v>
      </c>
      <c r="E181" s="30">
        <f>1+3+1+2</f>
        <v>7</v>
      </c>
      <c r="F181" s="37">
        <f>1500+60000+1000+2000</f>
        <v>64500</v>
      </c>
      <c r="G181" s="4"/>
      <c r="H181" s="17"/>
      <c r="I181" s="395">
        <f>1+5</f>
        <v>6</v>
      </c>
      <c r="J181" s="17">
        <f>3000+5500</f>
        <v>8500</v>
      </c>
    </row>
    <row r="182" spans="1:10" s="2" customFormat="1" ht="18" customHeight="1" x14ac:dyDescent="0.25">
      <c r="A182" s="77"/>
      <c r="B182" s="75"/>
      <c r="C182" s="63"/>
      <c r="D182" s="70" t="s">
        <v>97</v>
      </c>
      <c r="E182" s="70">
        <f t="shared" ref="E182:J182" si="41">SUM(E183:E188)</f>
        <v>38</v>
      </c>
      <c r="F182" s="84">
        <f t="shared" si="41"/>
        <v>62687</v>
      </c>
      <c r="G182" s="70">
        <f t="shared" si="41"/>
        <v>0</v>
      </c>
      <c r="H182" s="84">
        <f t="shared" si="41"/>
        <v>0</v>
      </c>
      <c r="I182" s="70">
        <f t="shared" si="41"/>
        <v>11</v>
      </c>
      <c r="J182" s="71">
        <f t="shared" si="41"/>
        <v>10200</v>
      </c>
    </row>
    <row r="183" spans="1:10" s="2" customFormat="1" ht="14.25" customHeight="1" x14ac:dyDescent="0.25">
      <c r="A183" s="77"/>
      <c r="B183" s="75"/>
      <c r="C183" s="4"/>
      <c r="D183" s="83" t="s">
        <v>107</v>
      </c>
      <c r="E183" s="30"/>
      <c r="F183" s="37"/>
      <c r="G183" s="4"/>
      <c r="H183" s="17"/>
      <c r="I183" s="395"/>
      <c r="J183" s="17"/>
    </row>
    <row r="184" spans="1:10" s="2" customFormat="1" ht="14.25" customHeight="1" x14ac:dyDescent="0.25">
      <c r="A184" s="77"/>
      <c r="B184" s="75"/>
      <c r="C184" s="4"/>
      <c r="D184" s="83" t="s">
        <v>108</v>
      </c>
      <c r="E184" s="30"/>
      <c r="F184" s="37"/>
      <c r="G184" s="4"/>
      <c r="H184" s="17"/>
      <c r="I184" s="395">
        <f>6</f>
        <v>6</v>
      </c>
      <c r="J184" s="17">
        <f>6000</f>
        <v>6000</v>
      </c>
    </row>
    <row r="185" spans="1:10" s="2" customFormat="1" ht="14.25" customHeight="1" x14ac:dyDescent="0.25">
      <c r="A185" s="77"/>
      <c r="B185" s="75"/>
      <c r="C185" s="4"/>
      <c r="D185" s="83" t="s">
        <v>109</v>
      </c>
      <c r="E185" s="30">
        <f>4+3+2</f>
        <v>9</v>
      </c>
      <c r="F185" s="37">
        <f>4000+3200+20000</f>
        <v>27200</v>
      </c>
      <c r="G185" s="4"/>
      <c r="H185" s="17"/>
      <c r="I185" s="395">
        <f>1</f>
        <v>1</v>
      </c>
      <c r="J185" s="17">
        <f>1000</f>
        <v>1000</v>
      </c>
    </row>
    <row r="186" spans="1:10" s="2" customFormat="1" ht="14.25" customHeight="1" x14ac:dyDescent="0.25">
      <c r="A186" s="77"/>
      <c r="B186" s="75"/>
      <c r="C186" s="4"/>
      <c r="D186" s="83" t="s">
        <v>110</v>
      </c>
      <c r="E186" s="30">
        <f>3+1</f>
        <v>4</v>
      </c>
      <c r="F186" s="37">
        <f>3000+1500</f>
        <v>4500</v>
      </c>
      <c r="G186" s="4"/>
      <c r="H186" s="17"/>
      <c r="I186" s="395"/>
      <c r="J186" s="17"/>
    </row>
    <row r="187" spans="1:10" s="2" customFormat="1" ht="14.25" customHeight="1" x14ac:dyDescent="0.25">
      <c r="A187" s="77"/>
      <c r="B187" s="75"/>
      <c r="C187" s="4"/>
      <c r="D187" s="83" t="s">
        <v>111</v>
      </c>
      <c r="E187" s="30">
        <f>2+4+6+2</f>
        <v>14</v>
      </c>
      <c r="F187" s="37">
        <f>2000+3637+4300+10100</f>
        <v>20037</v>
      </c>
      <c r="G187" s="4"/>
      <c r="H187" s="17"/>
      <c r="I187" s="395">
        <f>4</f>
        <v>4</v>
      </c>
      <c r="J187" s="17">
        <f>3200</f>
        <v>3200</v>
      </c>
    </row>
    <row r="188" spans="1:10" s="2" customFormat="1" ht="14.25" customHeight="1" x14ac:dyDescent="0.25">
      <c r="A188" s="77"/>
      <c r="B188" s="75"/>
      <c r="C188" s="4"/>
      <c r="D188" s="83" t="s">
        <v>112</v>
      </c>
      <c r="E188" s="30">
        <f>1+2+7+1</f>
        <v>11</v>
      </c>
      <c r="F188" s="37">
        <f>1000+2500+7200+250</f>
        <v>10950</v>
      </c>
      <c r="G188" s="4"/>
      <c r="H188" s="17"/>
      <c r="I188" s="395"/>
      <c r="J188" s="17"/>
    </row>
    <row r="189" spans="1:10" s="2" customFormat="1" ht="20.25" customHeight="1" x14ac:dyDescent="0.25">
      <c r="A189" s="77"/>
      <c r="B189" s="75"/>
      <c r="C189" s="63"/>
      <c r="D189" s="70" t="s">
        <v>98</v>
      </c>
      <c r="E189" s="70">
        <f t="shared" ref="E189:J189" si="42">SUM(E190:E193)</f>
        <v>10</v>
      </c>
      <c r="F189" s="84">
        <f t="shared" si="42"/>
        <v>18472</v>
      </c>
      <c r="G189" s="70">
        <f t="shared" si="42"/>
        <v>0</v>
      </c>
      <c r="H189" s="84">
        <f t="shared" si="42"/>
        <v>0</v>
      </c>
      <c r="I189" s="70">
        <f t="shared" si="42"/>
        <v>5</v>
      </c>
      <c r="J189" s="71">
        <f t="shared" si="42"/>
        <v>6000</v>
      </c>
    </row>
    <row r="190" spans="1:10" s="2" customFormat="1" ht="14.25" customHeight="1" x14ac:dyDescent="0.25">
      <c r="A190" s="77"/>
      <c r="B190" s="75"/>
      <c r="C190" s="4"/>
      <c r="D190" s="83" t="s">
        <v>113</v>
      </c>
      <c r="E190" s="30">
        <f>1+1</f>
        <v>2</v>
      </c>
      <c r="F190" s="37">
        <f>1000+10000</f>
        <v>11000</v>
      </c>
      <c r="G190" s="4"/>
      <c r="H190" s="17"/>
      <c r="I190" s="395"/>
      <c r="J190" s="17"/>
    </row>
    <row r="191" spans="1:10" s="2" customFormat="1" ht="14.25" customHeight="1" x14ac:dyDescent="0.25">
      <c r="A191" s="77"/>
      <c r="B191" s="75"/>
      <c r="C191" s="4"/>
      <c r="D191" s="83" t="s">
        <v>114</v>
      </c>
      <c r="E191" s="30">
        <f>1+1</f>
        <v>2</v>
      </c>
      <c r="F191" s="37">
        <f>1500+1500</f>
        <v>3000</v>
      </c>
      <c r="G191" s="4"/>
      <c r="H191" s="17"/>
      <c r="I191" s="395">
        <f>1+2+1</f>
        <v>4</v>
      </c>
      <c r="J191" s="17">
        <f>1500+2500+1000</f>
        <v>5000</v>
      </c>
    </row>
    <row r="192" spans="1:10" s="2" customFormat="1" ht="14.25" customHeight="1" x14ac:dyDescent="0.25">
      <c r="A192" s="77"/>
      <c r="B192" s="75"/>
      <c r="C192" s="4"/>
      <c r="D192" s="83" t="s">
        <v>115</v>
      </c>
      <c r="E192" s="30">
        <f>1</f>
        <v>1</v>
      </c>
      <c r="F192" s="37">
        <f>1500</f>
        <v>1500</v>
      </c>
      <c r="G192" s="4"/>
      <c r="H192" s="17"/>
      <c r="I192" s="395"/>
      <c r="J192" s="17"/>
    </row>
    <row r="193" spans="1:10" s="2" customFormat="1" ht="14.25" customHeight="1" x14ac:dyDescent="0.25">
      <c r="A193" s="77"/>
      <c r="B193" s="75"/>
      <c r="C193" s="4"/>
      <c r="D193" s="83" t="s">
        <v>116</v>
      </c>
      <c r="E193" s="30">
        <f>1+4</f>
        <v>5</v>
      </c>
      <c r="F193" s="37">
        <f>1146+1826</f>
        <v>2972</v>
      </c>
      <c r="G193" s="4"/>
      <c r="H193" s="17"/>
      <c r="I193" s="395">
        <f>1</f>
        <v>1</v>
      </c>
      <c r="J193" s="17">
        <f>1000</f>
        <v>1000</v>
      </c>
    </row>
    <row r="194" spans="1:10" s="2" customFormat="1" ht="16.5" customHeight="1" x14ac:dyDescent="0.25">
      <c r="A194" s="77"/>
      <c r="B194" s="75"/>
      <c r="C194" s="63"/>
      <c r="D194" s="70" t="s">
        <v>99</v>
      </c>
      <c r="E194" s="70">
        <f t="shared" ref="E194:J194" si="43">SUM(E195)</f>
        <v>24</v>
      </c>
      <c r="F194" s="84">
        <f t="shared" si="43"/>
        <v>34465</v>
      </c>
      <c r="G194" s="70">
        <f t="shared" si="43"/>
        <v>0</v>
      </c>
      <c r="H194" s="84">
        <f t="shared" si="43"/>
        <v>0</v>
      </c>
      <c r="I194" s="70">
        <f t="shared" si="43"/>
        <v>9</v>
      </c>
      <c r="J194" s="84">
        <f t="shared" si="43"/>
        <v>18120</v>
      </c>
    </row>
    <row r="195" spans="1:10" s="2" customFormat="1" ht="14.25" customHeight="1" x14ac:dyDescent="0.25">
      <c r="A195" s="77"/>
      <c r="B195" s="75"/>
      <c r="C195" s="4"/>
      <c r="D195" s="83" t="s">
        <v>117</v>
      </c>
      <c r="E195" s="30">
        <f>3+3+8+10</f>
        <v>24</v>
      </c>
      <c r="F195" s="37">
        <f>3500+3300+16050+11615</f>
        <v>34465</v>
      </c>
      <c r="G195" s="4"/>
      <c r="H195" s="17"/>
      <c r="I195" s="395">
        <f>5+4</f>
        <v>9</v>
      </c>
      <c r="J195" s="17">
        <f>6120+12000</f>
        <v>18120</v>
      </c>
    </row>
    <row r="196" spans="1:10" s="8" customFormat="1" ht="8.25" customHeight="1" x14ac:dyDescent="0.25">
      <c r="A196" s="7"/>
      <c r="B196" s="7"/>
      <c r="C196" s="7"/>
      <c r="D196" s="7"/>
      <c r="E196" s="7"/>
      <c r="F196" s="93"/>
      <c r="G196" s="7"/>
      <c r="H196" s="93"/>
      <c r="I196" s="7"/>
      <c r="J196" s="7"/>
    </row>
    <row r="197" spans="1:10" s="9" customFormat="1" ht="21" customHeight="1" x14ac:dyDescent="0.25">
      <c r="A197" s="926" t="s">
        <v>23</v>
      </c>
      <c r="B197" s="831" t="s">
        <v>58</v>
      </c>
      <c r="C197" s="926" t="s">
        <v>24</v>
      </c>
      <c r="D197" s="148" t="s">
        <v>81</v>
      </c>
      <c r="E197" s="138">
        <f>E198+E199+E207+E215+E223+E228</f>
        <v>70136</v>
      </c>
      <c r="F197" s="135">
        <f>F198+F199+F207+F215+F223+F228</f>
        <v>18518947.819999997</v>
      </c>
      <c r="G197" s="63"/>
      <c r="H197" s="78"/>
      <c r="I197" s="63"/>
      <c r="J197" s="63"/>
    </row>
    <row r="198" spans="1:10" s="9" customFormat="1" ht="30" customHeight="1" x14ac:dyDescent="0.25">
      <c r="A198" s="927"/>
      <c r="B198" s="832"/>
      <c r="C198" s="927"/>
      <c r="D198" s="140" t="s">
        <v>212</v>
      </c>
      <c r="E198" s="141">
        <v>3150</v>
      </c>
      <c r="F198" s="142">
        <v>841018</v>
      </c>
      <c r="G198" s="63"/>
      <c r="H198" s="78"/>
      <c r="I198" s="63"/>
      <c r="J198" s="63"/>
    </row>
    <row r="199" spans="1:10" s="9" customFormat="1" ht="18" customHeight="1" x14ac:dyDescent="0.25">
      <c r="A199" s="6"/>
      <c r="B199" s="832"/>
      <c r="C199" s="6"/>
      <c r="D199" s="70" t="s">
        <v>79</v>
      </c>
      <c r="E199" s="64">
        <f>SUM(E200:E229)</f>
        <v>48941</v>
      </c>
      <c r="F199" s="78">
        <f>SUM(F200:F229)</f>
        <v>13037479.1</v>
      </c>
      <c r="G199" s="63"/>
      <c r="H199" s="78"/>
      <c r="I199" s="63"/>
      <c r="J199" s="63"/>
    </row>
    <row r="200" spans="1:10" s="16" customFormat="1" x14ac:dyDescent="0.25">
      <c r="A200" s="15"/>
      <c r="B200" s="832"/>
      <c r="C200" s="15"/>
      <c r="D200" s="83" t="s">
        <v>91</v>
      </c>
      <c r="E200" s="44"/>
      <c r="F200" s="41"/>
      <c r="G200" s="15"/>
      <c r="H200" s="53"/>
      <c r="I200" s="410"/>
      <c r="J200" s="410"/>
    </row>
    <row r="201" spans="1:10" s="1" customFormat="1" x14ac:dyDescent="0.25">
      <c r="A201" s="5"/>
      <c r="B201" s="832"/>
      <c r="C201" s="5"/>
      <c r="D201" s="83" t="s">
        <v>92</v>
      </c>
      <c r="E201" s="44">
        <v>6650</v>
      </c>
      <c r="F201" s="149">
        <v>1920768.66</v>
      </c>
      <c r="G201" s="5"/>
      <c r="H201" s="17"/>
      <c r="I201" s="5"/>
      <c r="J201" s="395"/>
    </row>
    <row r="202" spans="1:10" s="1" customFormat="1" x14ac:dyDescent="0.25">
      <c r="A202" s="5"/>
      <c r="B202" s="832"/>
      <c r="C202" s="5"/>
      <c r="D202" s="83" t="s">
        <v>93</v>
      </c>
      <c r="E202" s="44">
        <v>1000</v>
      </c>
      <c r="F202" s="150">
        <v>305626.90000000002</v>
      </c>
      <c r="G202" s="5"/>
      <c r="H202" s="17"/>
      <c r="I202" s="5"/>
      <c r="J202" s="395"/>
    </row>
    <row r="203" spans="1:10" s="1" customFormat="1" x14ac:dyDescent="0.25">
      <c r="A203" s="5"/>
      <c r="B203" s="832"/>
      <c r="C203" s="5"/>
      <c r="D203" s="83" t="s">
        <v>94</v>
      </c>
      <c r="E203" s="44">
        <v>1000</v>
      </c>
      <c r="F203" s="150">
        <v>330268.40000000002</v>
      </c>
      <c r="G203" s="5"/>
      <c r="H203" s="17"/>
      <c r="I203" s="5"/>
      <c r="J203" s="395"/>
    </row>
    <row r="204" spans="1:10" s="1" customFormat="1" x14ac:dyDescent="0.25">
      <c r="A204" s="5"/>
      <c r="B204" s="832"/>
      <c r="C204" s="5"/>
      <c r="D204" s="83" t="s">
        <v>95</v>
      </c>
      <c r="E204" s="44">
        <v>2000</v>
      </c>
      <c r="F204" s="150">
        <v>557049.64</v>
      </c>
      <c r="G204" s="5"/>
      <c r="H204" s="17"/>
      <c r="I204" s="5"/>
      <c r="J204" s="395"/>
    </row>
    <row r="205" spans="1:10" s="1" customFormat="1" x14ac:dyDescent="0.25">
      <c r="A205" s="5"/>
      <c r="B205" s="832"/>
      <c r="C205" s="5"/>
      <c r="D205" s="83" t="s">
        <v>96</v>
      </c>
      <c r="E205" s="44">
        <v>201</v>
      </c>
      <c r="F205" s="151">
        <v>142864.06</v>
      </c>
      <c r="G205" s="5"/>
      <c r="H205" s="17"/>
      <c r="I205" s="5"/>
      <c r="J205" s="395"/>
    </row>
    <row r="206" spans="1:10" s="1" customFormat="1" x14ac:dyDescent="0.25">
      <c r="A206" s="55"/>
      <c r="B206" s="832"/>
      <c r="C206" s="5"/>
      <c r="D206" s="143" t="s">
        <v>210</v>
      </c>
      <c r="E206" s="144">
        <v>1000</v>
      </c>
      <c r="F206" s="152">
        <v>250000</v>
      </c>
      <c r="G206" s="56"/>
      <c r="H206" s="82"/>
      <c r="I206" s="56"/>
      <c r="J206" s="409"/>
    </row>
    <row r="207" spans="1:10" s="2" customFormat="1" ht="17.25" customHeight="1" x14ac:dyDescent="0.25">
      <c r="A207" s="104"/>
      <c r="B207" s="832"/>
      <c r="C207" s="63"/>
      <c r="D207" s="70" t="s">
        <v>80</v>
      </c>
      <c r="E207" s="70">
        <f t="shared" ref="E207:J207" si="44">SUM(E208:E214)</f>
        <v>1267</v>
      </c>
      <c r="F207" s="84">
        <f t="shared" si="44"/>
        <v>316802.02</v>
      </c>
      <c r="G207" s="70">
        <f t="shared" si="44"/>
        <v>0</v>
      </c>
      <c r="H207" s="84">
        <f t="shared" si="44"/>
        <v>0</v>
      </c>
      <c r="I207" s="70">
        <f t="shared" si="44"/>
        <v>0</v>
      </c>
      <c r="J207" s="71">
        <f t="shared" si="44"/>
        <v>0</v>
      </c>
    </row>
    <row r="208" spans="1:10" s="2" customFormat="1" ht="14.25" customHeight="1" x14ac:dyDescent="0.25">
      <c r="A208" s="104"/>
      <c r="B208" s="832"/>
      <c r="C208" s="4"/>
      <c r="D208" s="83" t="s">
        <v>100</v>
      </c>
      <c r="E208" s="30">
        <v>67</v>
      </c>
      <c r="F208" s="37">
        <v>16802.02</v>
      </c>
      <c r="G208" s="4"/>
      <c r="H208" s="17"/>
      <c r="I208" s="395"/>
      <c r="J208" s="17"/>
    </row>
    <row r="209" spans="1:10" s="2" customFormat="1" ht="14.25" customHeight="1" x14ac:dyDescent="0.25">
      <c r="A209" s="104"/>
      <c r="B209" s="832"/>
      <c r="C209" s="4"/>
      <c r="D209" s="83" t="s">
        <v>101</v>
      </c>
      <c r="E209" s="30">
        <f>100</f>
        <v>100</v>
      </c>
      <c r="F209" s="37">
        <v>25000</v>
      </c>
      <c r="G209" s="4"/>
      <c r="H209" s="17"/>
      <c r="I209" s="395"/>
      <c r="J209" s="17"/>
    </row>
    <row r="210" spans="1:10" s="2" customFormat="1" ht="14.25" customHeight="1" x14ac:dyDescent="0.25">
      <c r="A210" s="104"/>
      <c r="B210" s="832"/>
      <c r="C210" s="4"/>
      <c r="D210" s="83" t="s">
        <v>102</v>
      </c>
      <c r="E210" s="30">
        <f>1000</f>
        <v>1000</v>
      </c>
      <c r="F210" s="37">
        <f>250000</f>
        <v>250000</v>
      </c>
      <c r="G210" s="4"/>
      <c r="H210" s="17"/>
      <c r="I210" s="395"/>
      <c r="J210" s="17"/>
    </row>
    <row r="211" spans="1:10" s="2" customFormat="1" ht="14.25" customHeight="1" x14ac:dyDescent="0.25">
      <c r="A211" s="104"/>
      <c r="B211" s="832"/>
      <c r="C211" s="4"/>
      <c r="D211" s="83" t="s">
        <v>103</v>
      </c>
      <c r="E211" s="30">
        <v>100</v>
      </c>
      <c r="F211" s="37">
        <v>25000</v>
      </c>
      <c r="G211" s="4"/>
      <c r="H211" s="17"/>
      <c r="I211" s="395"/>
      <c r="J211" s="17"/>
    </row>
    <row r="212" spans="1:10" s="2" customFormat="1" ht="14.25" customHeight="1" x14ac:dyDescent="0.25">
      <c r="A212" s="104"/>
      <c r="B212" s="832"/>
      <c r="C212" s="4"/>
      <c r="D212" s="83" t="s">
        <v>104</v>
      </c>
      <c r="E212" s="30"/>
      <c r="F212" s="37"/>
      <c r="G212" s="4"/>
      <c r="H212" s="17"/>
      <c r="I212" s="395"/>
      <c r="J212" s="17"/>
    </row>
    <row r="213" spans="1:10" s="2" customFormat="1" ht="14.25" customHeight="1" x14ac:dyDescent="0.25">
      <c r="A213" s="104"/>
      <c r="B213" s="832"/>
      <c r="C213" s="4"/>
      <c r="D213" s="83" t="s">
        <v>105</v>
      </c>
      <c r="E213" s="30"/>
      <c r="F213" s="37"/>
      <c r="G213" s="4"/>
      <c r="H213" s="17"/>
      <c r="I213" s="395"/>
      <c r="J213" s="17"/>
    </row>
    <row r="214" spans="1:10" s="2" customFormat="1" ht="14.25" customHeight="1" x14ac:dyDescent="0.25">
      <c r="A214" s="104"/>
      <c r="B214" s="832"/>
      <c r="C214" s="4"/>
      <c r="D214" s="83" t="s">
        <v>106</v>
      </c>
      <c r="E214" s="30"/>
      <c r="F214" s="37"/>
      <c r="G214" s="4"/>
      <c r="H214" s="17"/>
      <c r="I214" s="395"/>
      <c r="J214" s="17"/>
    </row>
    <row r="215" spans="1:10" s="2" customFormat="1" ht="20.25" customHeight="1" x14ac:dyDescent="0.25">
      <c r="A215" s="104"/>
      <c r="B215" s="832"/>
      <c r="C215" s="63"/>
      <c r="D215" s="70" t="s">
        <v>97</v>
      </c>
      <c r="E215" s="70">
        <f t="shared" ref="E215:J215" si="45">SUM(E216:E221)</f>
        <v>10700</v>
      </c>
      <c r="F215" s="84">
        <f t="shared" si="45"/>
        <v>2680085.5</v>
      </c>
      <c r="G215" s="70">
        <f t="shared" si="45"/>
        <v>0</v>
      </c>
      <c r="H215" s="84">
        <f t="shared" si="45"/>
        <v>0</v>
      </c>
      <c r="I215" s="70">
        <f t="shared" si="45"/>
        <v>0</v>
      </c>
      <c r="J215" s="71">
        <f t="shared" si="45"/>
        <v>0</v>
      </c>
    </row>
    <row r="216" spans="1:10" s="2" customFormat="1" ht="14.25" customHeight="1" x14ac:dyDescent="0.25">
      <c r="A216" s="104"/>
      <c r="B216" s="832"/>
      <c r="C216" s="4"/>
      <c r="D216" s="83" t="s">
        <v>107</v>
      </c>
      <c r="E216" s="30"/>
      <c r="F216" s="37"/>
      <c r="G216" s="4"/>
      <c r="H216" s="17"/>
      <c r="I216" s="395"/>
      <c r="J216" s="17"/>
    </row>
    <row r="217" spans="1:10" s="2" customFormat="1" ht="14.25" customHeight="1" x14ac:dyDescent="0.25">
      <c r="A217" s="104"/>
      <c r="B217" s="832"/>
      <c r="C217" s="4"/>
      <c r="D217" s="83" t="s">
        <v>108</v>
      </c>
      <c r="E217" s="30"/>
      <c r="F217" s="37"/>
      <c r="G217" s="4"/>
      <c r="H217" s="17"/>
      <c r="I217" s="395"/>
      <c r="J217" s="17"/>
    </row>
    <row r="218" spans="1:10" s="2" customFormat="1" ht="14.25" customHeight="1" x14ac:dyDescent="0.25">
      <c r="A218" s="104"/>
      <c r="B218" s="832"/>
      <c r="C218" s="4"/>
      <c r="D218" s="83" t="s">
        <v>109</v>
      </c>
      <c r="E218" s="30"/>
      <c r="F218" s="37"/>
      <c r="G218" s="4"/>
      <c r="H218" s="17"/>
      <c r="I218" s="395"/>
      <c r="J218" s="17"/>
    </row>
    <row r="219" spans="1:10" s="2" customFormat="1" ht="14.25" customHeight="1" x14ac:dyDescent="0.25">
      <c r="A219" s="104"/>
      <c r="B219" s="832"/>
      <c r="C219" s="4"/>
      <c r="D219" s="83" t="s">
        <v>110</v>
      </c>
      <c r="E219" s="30">
        <v>1000</v>
      </c>
      <c r="F219" s="37">
        <v>250000</v>
      </c>
      <c r="G219" s="4"/>
      <c r="H219" s="17"/>
      <c r="I219" s="395"/>
      <c r="J219" s="17"/>
    </row>
    <row r="220" spans="1:10" s="2" customFormat="1" ht="14.25" customHeight="1" x14ac:dyDescent="0.25">
      <c r="A220" s="104"/>
      <c r="B220" s="832"/>
      <c r="C220" s="4"/>
      <c r="D220" s="83" t="s">
        <v>111</v>
      </c>
      <c r="E220" s="30">
        <v>7100</v>
      </c>
      <c r="F220" s="37">
        <f>1780085.5</f>
        <v>1780085.5</v>
      </c>
      <c r="G220" s="4"/>
      <c r="H220" s="17"/>
      <c r="I220" s="395"/>
      <c r="J220" s="17"/>
    </row>
    <row r="221" spans="1:10" s="2" customFormat="1" ht="14.25" customHeight="1" x14ac:dyDescent="0.25">
      <c r="A221" s="104"/>
      <c r="B221" s="832"/>
      <c r="C221" s="4"/>
      <c r="D221" s="83" t="s">
        <v>112</v>
      </c>
      <c r="E221" s="30">
        <f>2600</f>
        <v>2600</v>
      </c>
      <c r="F221" s="37">
        <f>650000</f>
        <v>650000</v>
      </c>
      <c r="G221" s="4"/>
      <c r="H221" s="17"/>
      <c r="I221" s="395"/>
      <c r="J221" s="17"/>
    </row>
    <row r="222" spans="1:10" s="2" customFormat="1" ht="14.25" customHeight="1" x14ac:dyDescent="0.25">
      <c r="A222" s="104"/>
      <c r="B222" s="832"/>
      <c r="C222" s="4"/>
      <c r="D222" s="108" t="s">
        <v>211</v>
      </c>
      <c r="E222" s="79">
        <v>1000</v>
      </c>
      <c r="F222" s="81">
        <v>250000</v>
      </c>
      <c r="G222" s="27"/>
      <c r="H222" s="82"/>
      <c r="I222" s="409"/>
      <c r="J222" s="82"/>
    </row>
    <row r="223" spans="1:10" s="2" customFormat="1" ht="18" customHeight="1" x14ac:dyDescent="0.25">
      <c r="A223" s="104"/>
      <c r="B223" s="832"/>
      <c r="C223" s="63"/>
      <c r="D223" s="70" t="s">
        <v>98</v>
      </c>
      <c r="E223" s="70">
        <f t="shared" ref="E223:J223" si="46">SUM(E224:E227)</f>
        <v>6078</v>
      </c>
      <c r="F223" s="84">
        <f t="shared" si="46"/>
        <v>1643563.2</v>
      </c>
      <c r="G223" s="70">
        <f t="shared" si="46"/>
        <v>0</v>
      </c>
      <c r="H223" s="84">
        <f t="shared" si="46"/>
        <v>0</v>
      </c>
      <c r="I223" s="70">
        <f t="shared" si="46"/>
        <v>0</v>
      </c>
      <c r="J223" s="71">
        <f t="shared" si="46"/>
        <v>0</v>
      </c>
    </row>
    <row r="224" spans="1:10" s="2" customFormat="1" ht="14.25" customHeight="1" x14ac:dyDescent="0.25">
      <c r="A224" s="104"/>
      <c r="B224" s="832"/>
      <c r="C224" s="4"/>
      <c r="D224" s="83" t="s">
        <v>113</v>
      </c>
      <c r="E224" s="30">
        <v>2540</v>
      </c>
      <c r="F224" s="37">
        <v>680794.8</v>
      </c>
      <c r="G224" s="4"/>
      <c r="H224" s="17"/>
      <c r="I224" s="395"/>
      <c r="J224" s="17"/>
    </row>
    <row r="225" spans="1:10" s="2" customFormat="1" ht="14.25" customHeight="1" x14ac:dyDescent="0.25">
      <c r="A225" s="104"/>
      <c r="B225" s="832"/>
      <c r="C225" s="4"/>
      <c r="D225" s="83" t="s">
        <v>114</v>
      </c>
      <c r="E225" s="30">
        <v>1500</v>
      </c>
      <c r="F225" s="37">
        <v>375000</v>
      </c>
      <c r="G225" s="4"/>
      <c r="H225" s="17"/>
      <c r="I225" s="395"/>
      <c r="J225" s="17"/>
    </row>
    <row r="226" spans="1:10" s="2" customFormat="1" ht="14.25" customHeight="1" x14ac:dyDescent="0.25">
      <c r="A226" s="104"/>
      <c r="B226" s="832"/>
      <c r="C226" s="4"/>
      <c r="D226" s="83" t="s">
        <v>115</v>
      </c>
      <c r="E226" s="30">
        <v>2000</v>
      </c>
      <c r="F226" s="37">
        <v>578112</v>
      </c>
      <c r="G226" s="4"/>
      <c r="H226" s="17"/>
      <c r="I226" s="395"/>
      <c r="J226" s="17"/>
    </row>
    <row r="227" spans="1:10" s="2" customFormat="1" ht="14.25" customHeight="1" x14ac:dyDescent="0.25">
      <c r="A227" s="104"/>
      <c r="B227" s="832"/>
      <c r="C227" s="4"/>
      <c r="D227" s="83" t="s">
        <v>116</v>
      </c>
      <c r="E227" s="30">
        <v>38</v>
      </c>
      <c r="F227" s="37">
        <v>9656.4</v>
      </c>
      <c r="G227" s="4"/>
      <c r="H227" s="17"/>
      <c r="I227" s="395"/>
      <c r="J227" s="17"/>
    </row>
    <row r="228" spans="1:10" s="2" customFormat="1" ht="20.25" customHeight="1" x14ac:dyDescent="0.25">
      <c r="A228" s="104"/>
      <c r="B228" s="832"/>
      <c r="C228" s="63"/>
      <c r="D228" s="70" t="s">
        <v>99</v>
      </c>
      <c r="E228" s="70">
        <f t="shared" ref="E228:J228" si="47">SUM(E229)</f>
        <v>0</v>
      </c>
      <c r="F228" s="84">
        <f t="shared" si="47"/>
        <v>0</v>
      </c>
      <c r="G228" s="70">
        <f t="shared" si="47"/>
        <v>0</v>
      </c>
      <c r="H228" s="84">
        <f t="shared" si="47"/>
        <v>0</v>
      </c>
      <c r="I228" s="70">
        <f t="shared" si="47"/>
        <v>0</v>
      </c>
      <c r="J228" s="84">
        <f t="shared" si="47"/>
        <v>0</v>
      </c>
    </row>
    <row r="229" spans="1:10" s="2" customFormat="1" ht="14.25" customHeight="1" x14ac:dyDescent="0.25">
      <c r="A229" s="153"/>
      <c r="B229" s="833"/>
      <c r="C229" s="4"/>
      <c r="D229" s="83" t="s">
        <v>117</v>
      </c>
      <c r="E229" s="30"/>
      <c r="F229" s="37"/>
      <c r="G229" s="109"/>
      <c r="H229" s="145"/>
      <c r="I229" s="407"/>
      <c r="J229" s="145"/>
    </row>
    <row r="230" spans="1:10" s="51" customFormat="1" ht="14.25" customHeight="1" x14ac:dyDescent="0.25">
      <c r="A230" s="115"/>
      <c r="B230" s="50"/>
      <c r="D230" s="116"/>
      <c r="E230" s="117"/>
      <c r="F230" s="118"/>
      <c r="H230" s="58"/>
      <c r="J230" s="58"/>
    </row>
    <row r="231" spans="1:10" s="51" customFormat="1" ht="14.25" customHeight="1" x14ac:dyDescent="0.25">
      <c r="A231" s="115"/>
      <c r="B231" s="50"/>
      <c r="D231" s="116"/>
      <c r="E231" s="117"/>
      <c r="F231" s="118"/>
      <c r="H231" s="58"/>
      <c r="J231" s="58"/>
    </row>
    <row r="232" spans="1:10" s="51" customFormat="1" ht="14.25" customHeight="1" x14ac:dyDescent="0.25">
      <c r="A232" s="115"/>
      <c r="B232" s="50"/>
      <c r="D232" s="116"/>
      <c r="E232" s="117"/>
      <c r="F232" s="118"/>
      <c r="H232" s="58"/>
      <c r="J232" s="58"/>
    </row>
    <row r="233" spans="1:10" s="51" customFormat="1" ht="14.25" customHeight="1" x14ac:dyDescent="0.25">
      <c r="A233" s="115"/>
      <c r="B233" s="50"/>
      <c r="D233" s="116"/>
      <c r="E233" s="117"/>
      <c r="F233" s="118"/>
      <c r="H233" s="58"/>
      <c r="J233" s="58"/>
    </row>
    <row r="234" spans="1:10" s="51" customFormat="1" ht="14.25" customHeight="1" x14ac:dyDescent="0.25">
      <c r="A234" s="115"/>
      <c r="B234" s="50"/>
      <c r="D234" s="116"/>
      <c r="E234" s="117"/>
      <c r="F234" s="118"/>
      <c r="H234" s="58"/>
      <c r="J234" s="58"/>
    </row>
    <row r="235" spans="1:10" s="51" customFormat="1" ht="14.25" customHeight="1" x14ac:dyDescent="0.25">
      <c r="A235" s="115"/>
      <c r="B235" s="50"/>
      <c r="D235" s="116"/>
      <c r="E235" s="117"/>
      <c r="F235" s="118"/>
      <c r="H235" s="58"/>
      <c r="J235" s="58"/>
    </row>
    <row r="236" spans="1:10" s="9" customFormat="1" ht="30" customHeight="1" x14ac:dyDescent="0.25">
      <c r="A236" s="146" t="s">
        <v>63</v>
      </c>
      <c r="B236" s="831" t="s">
        <v>64</v>
      </c>
      <c r="C236" s="46" t="s">
        <v>65</v>
      </c>
      <c r="D236" s="132" t="s">
        <v>81</v>
      </c>
      <c r="E236" s="147">
        <f t="shared" ref="E236:J236" si="48">E237+E244+E252+E259+E264</f>
        <v>0</v>
      </c>
      <c r="F236" s="137">
        <f t="shared" si="48"/>
        <v>0</v>
      </c>
      <c r="G236" s="147">
        <f t="shared" si="48"/>
        <v>0</v>
      </c>
      <c r="H236" s="137">
        <f t="shared" si="48"/>
        <v>0</v>
      </c>
      <c r="I236" s="147">
        <f t="shared" si="48"/>
        <v>654</v>
      </c>
      <c r="J236" s="137">
        <f t="shared" si="48"/>
        <v>6540000</v>
      </c>
    </row>
    <row r="237" spans="1:10" s="9" customFormat="1" ht="30" customHeight="1" x14ac:dyDescent="0.25">
      <c r="A237" s="54"/>
      <c r="B237" s="879"/>
      <c r="C237" s="6"/>
      <c r="D237" s="70" t="s">
        <v>79</v>
      </c>
      <c r="E237" s="64">
        <f t="shared" ref="E237:J237" si="49">SUM(E238:E243)</f>
        <v>0</v>
      </c>
      <c r="F237" s="78">
        <f t="shared" si="49"/>
        <v>0</v>
      </c>
      <c r="G237" s="63">
        <f t="shared" si="49"/>
        <v>0</v>
      </c>
      <c r="H237" s="78">
        <f t="shared" si="49"/>
        <v>0</v>
      </c>
      <c r="I237" s="63">
        <f t="shared" si="49"/>
        <v>0</v>
      </c>
      <c r="J237" s="78">
        <f t="shared" si="49"/>
        <v>0</v>
      </c>
    </row>
    <row r="238" spans="1:10" s="16" customFormat="1" ht="15" customHeight="1" x14ac:dyDescent="0.25">
      <c r="A238" s="869"/>
      <c r="B238" s="879"/>
      <c r="C238" s="15"/>
      <c r="D238" s="83" t="s">
        <v>91</v>
      </c>
      <c r="E238" s="44"/>
      <c r="F238" s="41"/>
      <c r="G238" s="15"/>
      <c r="H238" s="53"/>
      <c r="I238" s="410"/>
      <c r="J238" s="53"/>
    </row>
    <row r="239" spans="1:10" s="1" customFormat="1" ht="15" customHeight="1" x14ac:dyDescent="0.25">
      <c r="A239" s="870"/>
      <c r="B239" s="879"/>
      <c r="C239" s="5"/>
      <c r="D239" s="83" t="s">
        <v>92</v>
      </c>
      <c r="E239" s="44"/>
      <c r="F239" s="38"/>
      <c r="G239" s="20"/>
      <c r="H239" s="17"/>
      <c r="I239" s="20"/>
      <c r="J239" s="17"/>
    </row>
    <row r="240" spans="1:10" s="1" customFormat="1" ht="15" customHeight="1" x14ac:dyDescent="0.25">
      <c r="A240" s="55"/>
      <c r="B240" s="879"/>
      <c r="C240" s="5"/>
      <c r="D240" s="83" t="s">
        <v>93</v>
      </c>
      <c r="E240" s="44"/>
      <c r="F240" s="39"/>
      <c r="G240" s="20"/>
      <c r="H240" s="17"/>
      <c r="I240" s="20"/>
      <c r="J240" s="17"/>
    </row>
    <row r="241" spans="1:10" s="1" customFormat="1" ht="15" customHeight="1" x14ac:dyDescent="0.25">
      <c r="A241" s="55"/>
      <c r="B241" s="879"/>
      <c r="C241" s="5"/>
      <c r="D241" s="83" t="s">
        <v>94</v>
      </c>
      <c r="E241" s="44"/>
      <c r="F241" s="39"/>
      <c r="G241" s="20"/>
      <c r="H241" s="17"/>
      <c r="I241" s="20"/>
      <c r="J241" s="17"/>
    </row>
    <row r="242" spans="1:10" s="1" customFormat="1" ht="15" customHeight="1" x14ac:dyDescent="0.25">
      <c r="A242" s="55"/>
      <c r="B242" s="879"/>
      <c r="C242" s="5"/>
      <c r="D242" s="83" t="s">
        <v>95</v>
      </c>
      <c r="E242" s="44"/>
      <c r="F242" s="39"/>
      <c r="G242" s="20"/>
      <c r="H242" s="17"/>
      <c r="I242" s="20"/>
      <c r="J242" s="17"/>
    </row>
    <row r="243" spans="1:10" s="1" customFormat="1" ht="15" customHeight="1" x14ac:dyDescent="0.25">
      <c r="A243" s="56"/>
      <c r="B243" s="966"/>
      <c r="C243" s="5"/>
      <c r="D243" s="83" t="s">
        <v>96</v>
      </c>
      <c r="E243" s="44"/>
      <c r="F243" s="62"/>
      <c r="G243" s="20"/>
      <c r="H243" s="17"/>
      <c r="I243" s="20"/>
      <c r="J243" s="17"/>
    </row>
    <row r="244" spans="1:10" s="2" customFormat="1" ht="24" customHeight="1" x14ac:dyDescent="0.25">
      <c r="A244" s="77"/>
      <c r="B244" s="74"/>
      <c r="C244" s="63"/>
      <c r="D244" s="70" t="s">
        <v>80</v>
      </c>
      <c r="E244" s="70">
        <f t="shared" ref="E244:J244" si="50">SUM(E245:E251)</f>
        <v>0</v>
      </c>
      <c r="F244" s="84">
        <f t="shared" si="50"/>
        <v>0</v>
      </c>
      <c r="G244" s="70">
        <f t="shared" si="50"/>
        <v>0</v>
      </c>
      <c r="H244" s="84">
        <f t="shared" si="50"/>
        <v>0</v>
      </c>
      <c r="I244" s="70">
        <f t="shared" si="50"/>
        <v>0</v>
      </c>
      <c r="J244" s="71">
        <f t="shared" si="50"/>
        <v>0</v>
      </c>
    </row>
    <row r="245" spans="1:10" s="2" customFormat="1" ht="14.25" customHeight="1" x14ac:dyDescent="0.25">
      <c r="A245" s="77"/>
      <c r="B245" s="74"/>
      <c r="C245" s="4"/>
      <c r="D245" s="83" t="s">
        <v>100</v>
      </c>
      <c r="E245" s="30"/>
      <c r="F245" s="37"/>
      <c r="G245" s="4"/>
      <c r="H245" s="17"/>
      <c r="I245" s="395"/>
      <c r="J245" s="17"/>
    </row>
    <row r="246" spans="1:10" s="2" customFormat="1" ht="14.25" customHeight="1" x14ac:dyDescent="0.25">
      <c r="A246" s="77"/>
      <c r="B246" s="74"/>
      <c r="C246" s="4"/>
      <c r="D246" s="83" t="s">
        <v>101</v>
      </c>
      <c r="E246" s="30"/>
      <c r="F246" s="37"/>
      <c r="G246" s="4"/>
      <c r="H246" s="17"/>
      <c r="I246" s="395"/>
      <c r="J246" s="17"/>
    </row>
    <row r="247" spans="1:10" s="2" customFormat="1" ht="14.25" customHeight="1" x14ac:dyDescent="0.25">
      <c r="A247" s="77"/>
      <c r="B247" s="74"/>
      <c r="C247" s="4"/>
      <c r="D247" s="83" t="s">
        <v>102</v>
      </c>
      <c r="E247" s="30"/>
      <c r="F247" s="37"/>
      <c r="G247" s="4"/>
      <c r="H247" s="17"/>
      <c r="I247" s="395"/>
      <c r="J247" s="17"/>
    </row>
    <row r="248" spans="1:10" s="2" customFormat="1" ht="14.25" customHeight="1" x14ac:dyDescent="0.25">
      <c r="A248" s="77"/>
      <c r="B248" s="74"/>
      <c r="C248" s="4"/>
      <c r="D248" s="83" t="s">
        <v>103</v>
      </c>
      <c r="E248" s="30"/>
      <c r="F248" s="37"/>
      <c r="G248" s="4"/>
      <c r="H248" s="17"/>
      <c r="I248" s="395"/>
      <c r="J248" s="17"/>
    </row>
    <row r="249" spans="1:10" s="2" customFormat="1" ht="14.25" customHeight="1" x14ac:dyDescent="0.25">
      <c r="A249" s="77"/>
      <c r="B249" s="74"/>
      <c r="C249" s="4"/>
      <c r="D249" s="83" t="s">
        <v>104</v>
      </c>
      <c r="E249" s="30"/>
      <c r="F249" s="37"/>
      <c r="G249" s="4"/>
      <c r="H249" s="17"/>
      <c r="I249" s="395"/>
      <c r="J249" s="17"/>
    </row>
    <row r="250" spans="1:10" s="2" customFormat="1" ht="14.25" customHeight="1" x14ac:dyDescent="0.25">
      <c r="A250" s="77"/>
      <c r="B250" s="74"/>
      <c r="C250" s="4"/>
      <c r="D250" s="83" t="s">
        <v>105</v>
      </c>
      <c r="E250" s="30"/>
      <c r="F250" s="37"/>
      <c r="G250" s="4"/>
      <c r="H250" s="17"/>
      <c r="I250" s="395"/>
      <c r="J250" s="17"/>
    </row>
    <row r="251" spans="1:10" s="2" customFormat="1" ht="14.25" customHeight="1" x14ac:dyDescent="0.25">
      <c r="A251" s="77"/>
      <c r="B251" s="74"/>
      <c r="C251" s="4"/>
      <c r="D251" s="83" t="s">
        <v>106</v>
      </c>
      <c r="E251" s="30"/>
      <c r="F251" s="37"/>
      <c r="G251" s="4"/>
      <c r="H251" s="17"/>
      <c r="I251" s="395"/>
      <c r="J251" s="17"/>
    </row>
    <row r="252" spans="1:10" s="2" customFormat="1" ht="24" customHeight="1" x14ac:dyDescent="0.25">
      <c r="A252" s="77"/>
      <c r="B252" s="74"/>
      <c r="C252" s="63"/>
      <c r="D252" s="70" t="s">
        <v>97</v>
      </c>
      <c r="E252" s="70">
        <f t="shared" ref="E252:J252" si="51">SUM(E253:E258)</f>
        <v>0</v>
      </c>
      <c r="F252" s="84">
        <f t="shared" si="51"/>
        <v>0</v>
      </c>
      <c r="G252" s="70">
        <f t="shared" si="51"/>
        <v>0</v>
      </c>
      <c r="H252" s="84">
        <f t="shared" si="51"/>
        <v>0</v>
      </c>
      <c r="I252" s="70">
        <f t="shared" si="51"/>
        <v>654</v>
      </c>
      <c r="J252" s="71">
        <f t="shared" si="51"/>
        <v>6540000</v>
      </c>
    </row>
    <row r="253" spans="1:10" s="2" customFormat="1" ht="14.25" customHeight="1" x14ac:dyDescent="0.25">
      <c r="A253" s="77"/>
      <c r="B253" s="74"/>
      <c r="C253" s="4"/>
      <c r="D253" s="83" t="s">
        <v>107</v>
      </c>
      <c r="E253" s="30"/>
      <c r="F253" s="37"/>
      <c r="G253" s="4"/>
      <c r="H253" s="17"/>
      <c r="I253" s="395"/>
      <c r="J253" s="17"/>
    </row>
    <row r="254" spans="1:10" s="2" customFormat="1" ht="14.25" customHeight="1" x14ac:dyDescent="0.25">
      <c r="A254" s="77"/>
      <c r="B254" s="74"/>
      <c r="C254" s="4"/>
      <c r="D254" s="83" t="s">
        <v>108</v>
      </c>
      <c r="E254" s="30"/>
      <c r="F254" s="37"/>
      <c r="G254" s="4"/>
      <c r="H254" s="17"/>
      <c r="I254" s="395"/>
      <c r="J254" s="17"/>
    </row>
    <row r="255" spans="1:10" s="2" customFormat="1" ht="14.25" customHeight="1" x14ac:dyDescent="0.25">
      <c r="A255" s="77"/>
      <c r="B255" s="74"/>
      <c r="C255" s="4"/>
      <c r="D255" s="83" t="s">
        <v>109</v>
      </c>
      <c r="E255" s="30"/>
      <c r="F255" s="37"/>
      <c r="G255" s="4"/>
      <c r="H255" s="17"/>
      <c r="I255" s="395"/>
      <c r="J255" s="17"/>
    </row>
    <row r="256" spans="1:10" s="2" customFormat="1" ht="14.25" customHeight="1" x14ac:dyDescent="0.25">
      <c r="A256" s="77"/>
      <c r="B256" s="74"/>
      <c r="C256" s="4"/>
      <c r="D256" s="83" t="s">
        <v>110</v>
      </c>
      <c r="E256" s="30"/>
      <c r="F256" s="37"/>
      <c r="G256" s="4"/>
      <c r="H256" s="17"/>
      <c r="I256" s="395"/>
      <c r="J256" s="17"/>
    </row>
    <row r="257" spans="1:10" s="2" customFormat="1" ht="14.25" customHeight="1" x14ac:dyDescent="0.25">
      <c r="A257" s="77"/>
      <c r="B257" s="74"/>
      <c r="C257" s="4"/>
      <c r="D257" s="83" t="s">
        <v>111</v>
      </c>
      <c r="E257" s="30"/>
      <c r="F257" s="37"/>
      <c r="G257" s="4"/>
      <c r="H257" s="17"/>
      <c r="I257" s="395">
        <f>654</f>
        <v>654</v>
      </c>
      <c r="J257" s="17">
        <f>6540000</f>
        <v>6540000</v>
      </c>
    </row>
    <row r="258" spans="1:10" s="2" customFormat="1" ht="14.25" customHeight="1" x14ac:dyDescent="0.25">
      <c r="A258" s="77"/>
      <c r="B258" s="74"/>
      <c r="C258" s="4"/>
      <c r="D258" s="83" t="s">
        <v>112</v>
      </c>
      <c r="E258" s="30"/>
      <c r="F258" s="37"/>
      <c r="G258" s="4"/>
      <c r="H258" s="17"/>
      <c r="I258" s="395"/>
      <c r="J258" s="17"/>
    </row>
    <row r="259" spans="1:10" s="2" customFormat="1" ht="24" customHeight="1" x14ac:dyDescent="0.25">
      <c r="A259" s="77"/>
      <c r="B259" s="74"/>
      <c r="C259" s="63"/>
      <c r="D259" s="70" t="s">
        <v>98</v>
      </c>
      <c r="E259" s="70">
        <f t="shared" ref="E259:J259" si="52">SUM(E260:E263)</f>
        <v>0</v>
      </c>
      <c r="F259" s="84">
        <f t="shared" si="52"/>
        <v>0</v>
      </c>
      <c r="G259" s="70">
        <f t="shared" si="52"/>
        <v>0</v>
      </c>
      <c r="H259" s="84">
        <f t="shared" si="52"/>
        <v>0</v>
      </c>
      <c r="I259" s="70">
        <f t="shared" si="52"/>
        <v>0</v>
      </c>
      <c r="J259" s="71">
        <f t="shared" si="52"/>
        <v>0</v>
      </c>
    </row>
    <row r="260" spans="1:10" s="2" customFormat="1" ht="14.25" customHeight="1" x14ac:dyDescent="0.25">
      <c r="A260" s="77"/>
      <c r="B260" s="74"/>
      <c r="C260" s="4"/>
      <c r="D260" s="83" t="s">
        <v>113</v>
      </c>
      <c r="E260" s="30"/>
      <c r="F260" s="37"/>
      <c r="G260" s="4"/>
      <c r="H260" s="17"/>
      <c r="I260" s="395"/>
      <c r="J260" s="17"/>
    </row>
    <row r="261" spans="1:10" s="2" customFormat="1" ht="14.25" customHeight="1" x14ac:dyDescent="0.25">
      <c r="A261" s="77"/>
      <c r="B261" s="74"/>
      <c r="C261" s="4"/>
      <c r="D261" s="83" t="s">
        <v>114</v>
      </c>
      <c r="E261" s="30"/>
      <c r="F261" s="37"/>
      <c r="G261" s="4"/>
      <c r="H261" s="17"/>
      <c r="I261" s="395"/>
      <c r="J261" s="17"/>
    </row>
    <row r="262" spans="1:10" s="2" customFormat="1" ht="14.25" customHeight="1" x14ac:dyDescent="0.25">
      <c r="A262" s="77"/>
      <c r="B262" s="74"/>
      <c r="C262" s="4"/>
      <c r="D262" s="83" t="s">
        <v>115</v>
      </c>
      <c r="E262" s="30"/>
      <c r="F262" s="37"/>
      <c r="G262" s="4"/>
      <c r="H262" s="17"/>
      <c r="I262" s="395"/>
      <c r="J262" s="17"/>
    </row>
    <row r="263" spans="1:10" s="2" customFormat="1" ht="14.25" customHeight="1" x14ac:dyDescent="0.25">
      <c r="A263" s="77"/>
      <c r="B263" s="74"/>
      <c r="C263" s="4"/>
      <c r="D263" s="83" t="s">
        <v>116</v>
      </c>
      <c r="E263" s="30"/>
      <c r="F263" s="37"/>
      <c r="G263" s="4"/>
      <c r="H263" s="17"/>
      <c r="I263" s="395"/>
      <c r="J263" s="17"/>
    </row>
    <row r="264" spans="1:10" s="2" customFormat="1" ht="24" customHeight="1" x14ac:dyDescent="0.25">
      <c r="A264" s="77"/>
      <c r="B264" s="74"/>
      <c r="C264" s="63"/>
      <c r="D264" s="70" t="s">
        <v>99</v>
      </c>
      <c r="E264" s="70">
        <f t="shared" ref="E264:J264" si="53">SUM(E265)</f>
        <v>0</v>
      </c>
      <c r="F264" s="84">
        <f t="shared" si="53"/>
        <v>0</v>
      </c>
      <c r="G264" s="70">
        <f t="shared" si="53"/>
        <v>0</v>
      </c>
      <c r="H264" s="84">
        <f t="shared" si="53"/>
        <v>0</v>
      </c>
      <c r="I264" s="70">
        <f t="shared" si="53"/>
        <v>0</v>
      </c>
      <c r="J264" s="84">
        <f t="shared" si="53"/>
        <v>0</v>
      </c>
    </row>
    <row r="265" spans="1:10" s="2" customFormat="1" ht="14.25" customHeight="1" x14ac:dyDescent="0.25">
      <c r="A265" s="77"/>
      <c r="B265" s="74"/>
      <c r="C265" s="4"/>
      <c r="D265" s="83" t="s">
        <v>117</v>
      </c>
      <c r="E265" s="30"/>
      <c r="F265" s="37"/>
      <c r="G265" s="4"/>
      <c r="H265" s="17"/>
      <c r="I265" s="395"/>
      <c r="J265" s="17"/>
    </row>
    <row r="266" spans="1:10" s="8" customFormat="1" ht="8.25" customHeight="1" x14ac:dyDescent="0.25">
      <c r="A266" s="60"/>
      <c r="B266" s="60"/>
      <c r="C266" s="60"/>
      <c r="D266" s="60"/>
      <c r="E266" s="60"/>
      <c r="F266" s="96"/>
      <c r="G266" s="60"/>
      <c r="H266" s="96"/>
      <c r="I266" s="60"/>
      <c r="J266" s="60"/>
    </row>
    <row r="267" spans="1:10" s="9" customFormat="1" ht="23.25" customHeight="1" x14ac:dyDescent="0.25">
      <c r="A267" s="54" t="s">
        <v>67</v>
      </c>
      <c r="B267" s="831" t="s">
        <v>68</v>
      </c>
      <c r="C267" s="926" t="s">
        <v>65</v>
      </c>
      <c r="D267" s="132" t="s">
        <v>81</v>
      </c>
      <c r="E267" s="138">
        <f t="shared" ref="E267:J267" si="54">E268+E275+E283+E290+E295</f>
        <v>8434</v>
      </c>
      <c r="F267" s="135">
        <f t="shared" si="54"/>
        <v>2420055</v>
      </c>
      <c r="G267" s="138">
        <f t="shared" si="54"/>
        <v>0</v>
      </c>
      <c r="H267" s="135">
        <f t="shared" si="54"/>
        <v>0</v>
      </c>
      <c r="I267" s="138">
        <f t="shared" si="54"/>
        <v>0</v>
      </c>
      <c r="J267" s="135">
        <f t="shared" si="54"/>
        <v>0</v>
      </c>
    </row>
    <row r="268" spans="1:10" s="9" customFormat="1" ht="18.75" customHeight="1" x14ac:dyDescent="0.25">
      <c r="A268" s="54"/>
      <c r="B268" s="879"/>
      <c r="C268" s="927"/>
      <c r="D268" s="70" t="s">
        <v>79</v>
      </c>
      <c r="E268" s="64">
        <f t="shared" ref="E268:J268" si="55">SUM(E269:E274)</f>
        <v>2244</v>
      </c>
      <c r="F268" s="78">
        <f t="shared" si="55"/>
        <v>894985</v>
      </c>
      <c r="G268" s="63">
        <f t="shared" si="55"/>
        <v>0</v>
      </c>
      <c r="H268" s="78">
        <f t="shared" si="55"/>
        <v>0</v>
      </c>
      <c r="I268" s="63">
        <f t="shared" si="55"/>
        <v>0</v>
      </c>
      <c r="J268" s="78">
        <f t="shared" si="55"/>
        <v>0</v>
      </c>
    </row>
    <row r="269" spans="1:10" s="16" customFormat="1" ht="15" customHeight="1" x14ac:dyDescent="0.25">
      <c r="A269" s="869"/>
      <c r="B269" s="879"/>
      <c r="C269" s="15"/>
      <c r="D269" s="83" t="s">
        <v>91</v>
      </c>
      <c r="E269" s="44">
        <f>206+150</f>
        <v>356</v>
      </c>
      <c r="F269" s="41">
        <f>50985+372000</f>
        <v>422985</v>
      </c>
      <c r="G269" s="15"/>
      <c r="H269" s="53"/>
      <c r="I269" s="410"/>
      <c r="J269" s="53"/>
    </row>
    <row r="270" spans="1:10" s="1" customFormat="1" x14ac:dyDescent="0.25">
      <c r="A270" s="870"/>
      <c r="B270" s="879"/>
      <c r="C270" s="5"/>
      <c r="D270" s="83" t="s">
        <v>92</v>
      </c>
      <c r="E270" s="44">
        <f>1888</f>
        <v>1888</v>
      </c>
      <c r="F270" s="38">
        <f>472000</f>
        <v>472000</v>
      </c>
      <c r="G270" s="20"/>
      <c r="H270" s="17"/>
      <c r="I270" s="20"/>
      <c r="J270" s="17"/>
    </row>
    <row r="271" spans="1:10" s="1" customFormat="1" x14ac:dyDescent="0.25">
      <c r="A271" s="55"/>
      <c r="B271" s="879"/>
      <c r="C271" s="5"/>
      <c r="D271" s="83" t="s">
        <v>93</v>
      </c>
      <c r="E271" s="44"/>
      <c r="F271" s="39"/>
      <c r="G271" s="20"/>
      <c r="H271" s="17"/>
      <c r="I271" s="20"/>
      <c r="J271" s="17"/>
    </row>
    <row r="272" spans="1:10" s="1" customFormat="1" x14ac:dyDescent="0.25">
      <c r="A272" s="55"/>
      <c r="B272" s="879"/>
      <c r="C272" s="5"/>
      <c r="D272" s="83" t="s">
        <v>94</v>
      </c>
      <c r="E272" s="44"/>
      <c r="F272" s="39"/>
      <c r="G272" s="20"/>
      <c r="H272" s="17"/>
      <c r="I272" s="20"/>
      <c r="J272" s="17"/>
    </row>
    <row r="273" spans="1:10" s="1" customFormat="1" x14ac:dyDescent="0.25">
      <c r="A273" s="55"/>
      <c r="B273" s="879"/>
      <c r="C273" s="5"/>
      <c r="D273" s="83" t="s">
        <v>95</v>
      </c>
      <c r="E273" s="44"/>
      <c r="F273" s="39"/>
      <c r="G273" s="20"/>
      <c r="H273" s="17"/>
      <c r="I273" s="20"/>
      <c r="J273" s="17"/>
    </row>
    <row r="274" spans="1:10" s="1" customFormat="1" x14ac:dyDescent="0.25">
      <c r="A274" s="56"/>
      <c r="B274" s="966"/>
      <c r="C274" s="5"/>
      <c r="D274" s="83" t="s">
        <v>96</v>
      </c>
      <c r="E274" s="44"/>
      <c r="F274" s="62"/>
      <c r="G274" s="20"/>
      <c r="H274" s="17"/>
      <c r="I274" s="20"/>
      <c r="J274" s="17"/>
    </row>
    <row r="275" spans="1:10" s="2" customFormat="1" ht="20.25" customHeight="1" x14ac:dyDescent="0.25">
      <c r="A275" s="77"/>
      <c r="B275" s="74"/>
      <c r="C275" s="63"/>
      <c r="D275" s="70" t="s">
        <v>80</v>
      </c>
      <c r="E275" s="70">
        <f t="shared" ref="E275:J275" si="56">SUM(E276:E282)</f>
        <v>1913</v>
      </c>
      <c r="F275" s="84">
        <f t="shared" si="56"/>
        <v>459012.5</v>
      </c>
      <c r="G275" s="70">
        <f t="shared" si="56"/>
        <v>0</v>
      </c>
      <c r="H275" s="84">
        <f t="shared" si="56"/>
        <v>0</v>
      </c>
      <c r="I275" s="70">
        <f t="shared" si="56"/>
        <v>0</v>
      </c>
      <c r="J275" s="71">
        <f t="shared" si="56"/>
        <v>0</v>
      </c>
    </row>
    <row r="276" spans="1:10" s="2" customFormat="1" ht="14.25" customHeight="1" x14ac:dyDescent="0.25">
      <c r="A276" s="77"/>
      <c r="B276" s="74"/>
      <c r="C276" s="4"/>
      <c r="D276" s="83" t="s">
        <v>100</v>
      </c>
      <c r="E276" s="30"/>
      <c r="F276" s="37"/>
      <c r="G276" s="4"/>
      <c r="H276" s="17"/>
      <c r="I276" s="395"/>
      <c r="J276" s="17"/>
    </row>
    <row r="277" spans="1:10" s="2" customFormat="1" ht="14.25" customHeight="1" x14ac:dyDescent="0.25">
      <c r="A277" s="77"/>
      <c r="B277" s="74"/>
      <c r="C277" s="4"/>
      <c r="D277" s="83" t="s">
        <v>101</v>
      </c>
      <c r="E277" s="30">
        <f>450</f>
        <v>450</v>
      </c>
      <c r="F277" s="37">
        <f>112500</f>
        <v>112500</v>
      </c>
      <c r="G277" s="4"/>
      <c r="H277" s="17"/>
      <c r="I277" s="395"/>
      <c r="J277" s="17"/>
    </row>
    <row r="278" spans="1:10" s="2" customFormat="1" ht="14.25" customHeight="1" x14ac:dyDescent="0.25">
      <c r="A278" s="77"/>
      <c r="B278" s="74"/>
      <c r="C278" s="4"/>
      <c r="D278" s="83" t="s">
        <v>102</v>
      </c>
      <c r="E278" s="30">
        <f>378+68</f>
        <v>446</v>
      </c>
      <c r="F278" s="37">
        <f>76725+16830</f>
        <v>93555</v>
      </c>
      <c r="G278" s="4"/>
      <c r="H278" s="17"/>
      <c r="I278" s="395"/>
      <c r="J278" s="17"/>
    </row>
    <row r="279" spans="1:10" s="2" customFormat="1" ht="14.25" customHeight="1" x14ac:dyDescent="0.25">
      <c r="A279" s="77"/>
      <c r="B279" s="74"/>
      <c r="C279" s="4"/>
      <c r="D279" s="83" t="s">
        <v>103</v>
      </c>
      <c r="E279" s="30">
        <f>500</f>
        <v>500</v>
      </c>
      <c r="F279" s="37">
        <f>125000</f>
        <v>125000</v>
      </c>
      <c r="G279" s="4"/>
      <c r="H279" s="17"/>
      <c r="I279" s="395"/>
      <c r="J279" s="17"/>
    </row>
    <row r="280" spans="1:10" s="2" customFormat="1" ht="14.25" customHeight="1" x14ac:dyDescent="0.25">
      <c r="A280" s="77"/>
      <c r="B280" s="74"/>
      <c r="C280" s="4"/>
      <c r="D280" s="83" t="s">
        <v>104</v>
      </c>
      <c r="E280" s="30">
        <f>517</f>
        <v>517</v>
      </c>
      <c r="F280" s="37">
        <f>127957.5</f>
        <v>127957.5</v>
      </c>
      <c r="G280" s="4"/>
      <c r="H280" s="17"/>
      <c r="I280" s="395"/>
      <c r="J280" s="17"/>
    </row>
    <row r="281" spans="1:10" s="2" customFormat="1" ht="14.25" customHeight="1" x14ac:dyDescent="0.25">
      <c r="A281" s="77"/>
      <c r="B281" s="74"/>
      <c r="C281" s="4"/>
      <c r="D281" s="83" t="s">
        <v>105</v>
      </c>
      <c r="E281" s="30"/>
      <c r="F281" s="37"/>
      <c r="G281" s="4"/>
      <c r="H281" s="17"/>
      <c r="I281" s="395"/>
      <c r="J281" s="17"/>
    </row>
    <row r="282" spans="1:10" s="2" customFormat="1" ht="14.25" customHeight="1" x14ac:dyDescent="0.25">
      <c r="A282" s="77"/>
      <c r="B282" s="74"/>
      <c r="C282" s="4"/>
      <c r="D282" s="83" t="s">
        <v>106</v>
      </c>
      <c r="E282" s="30"/>
      <c r="F282" s="37"/>
      <c r="G282" s="4"/>
      <c r="H282" s="17"/>
      <c r="I282" s="395"/>
      <c r="J282" s="17"/>
    </row>
    <row r="283" spans="1:10" s="2" customFormat="1" ht="19.5" customHeight="1" x14ac:dyDescent="0.25">
      <c r="A283" s="77"/>
      <c r="B283" s="74"/>
      <c r="C283" s="63"/>
      <c r="D283" s="70" t="s">
        <v>97</v>
      </c>
      <c r="E283" s="70">
        <f t="shared" ref="E283:J283" si="57">SUM(E284:E289)</f>
        <v>2500</v>
      </c>
      <c r="F283" s="84">
        <f t="shared" si="57"/>
        <v>625000</v>
      </c>
      <c r="G283" s="70">
        <f t="shared" si="57"/>
        <v>0</v>
      </c>
      <c r="H283" s="84">
        <f t="shared" si="57"/>
        <v>0</v>
      </c>
      <c r="I283" s="70">
        <f t="shared" si="57"/>
        <v>0</v>
      </c>
      <c r="J283" s="71">
        <f t="shared" si="57"/>
        <v>0</v>
      </c>
    </row>
    <row r="284" spans="1:10" s="2" customFormat="1" ht="14.25" customHeight="1" x14ac:dyDescent="0.25">
      <c r="A284" s="77"/>
      <c r="B284" s="74"/>
      <c r="C284" s="4"/>
      <c r="D284" s="83" t="s">
        <v>107</v>
      </c>
      <c r="E284" s="30"/>
      <c r="F284" s="37"/>
      <c r="G284" s="4"/>
      <c r="H284" s="17"/>
      <c r="I284" s="395"/>
      <c r="J284" s="17"/>
    </row>
    <row r="285" spans="1:10" s="2" customFormat="1" ht="14.25" customHeight="1" x14ac:dyDescent="0.25">
      <c r="A285" s="77"/>
      <c r="B285" s="74"/>
      <c r="C285" s="4"/>
      <c r="D285" s="83" t="s">
        <v>108</v>
      </c>
      <c r="E285" s="30"/>
      <c r="F285" s="37"/>
      <c r="G285" s="4"/>
      <c r="H285" s="17"/>
      <c r="I285" s="395"/>
      <c r="J285" s="17"/>
    </row>
    <row r="286" spans="1:10" s="2" customFormat="1" ht="14.25" customHeight="1" x14ac:dyDescent="0.25">
      <c r="A286" s="77"/>
      <c r="B286" s="74"/>
      <c r="C286" s="4"/>
      <c r="D286" s="83" t="s">
        <v>109</v>
      </c>
      <c r="E286" s="30"/>
      <c r="F286" s="37"/>
      <c r="G286" s="4"/>
      <c r="H286" s="17"/>
      <c r="I286" s="395"/>
      <c r="J286" s="17"/>
    </row>
    <row r="287" spans="1:10" s="2" customFormat="1" ht="14.25" customHeight="1" x14ac:dyDescent="0.25">
      <c r="A287" s="77"/>
      <c r="B287" s="74"/>
      <c r="C287" s="4"/>
      <c r="D287" s="83" t="s">
        <v>110</v>
      </c>
      <c r="E287" s="30"/>
      <c r="F287" s="37"/>
      <c r="G287" s="4"/>
      <c r="H287" s="17"/>
      <c r="I287" s="395"/>
      <c r="J287" s="17"/>
    </row>
    <row r="288" spans="1:10" s="2" customFormat="1" ht="14.25" customHeight="1" x14ac:dyDescent="0.25">
      <c r="A288" s="77"/>
      <c r="B288" s="74"/>
      <c r="C288" s="4"/>
      <c r="D288" s="83" t="s">
        <v>111</v>
      </c>
      <c r="E288" s="30"/>
      <c r="F288" s="37"/>
      <c r="G288" s="4"/>
      <c r="H288" s="17"/>
      <c r="I288" s="395"/>
      <c r="J288" s="17"/>
    </row>
    <row r="289" spans="1:10" s="2" customFormat="1" ht="14.25" customHeight="1" x14ac:dyDescent="0.25">
      <c r="A289" s="77"/>
      <c r="B289" s="74"/>
      <c r="C289" s="4"/>
      <c r="D289" s="83" t="s">
        <v>112</v>
      </c>
      <c r="E289" s="30">
        <f>2500</f>
        <v>2500</v>
      </c>
      <c r="F289" s="37">
        <f>625000</f>
        <v>625000</v>
      </c>
      <c r="G289" s="4"/>
      <c r="H289" s="17"/>
      <c r="I289" s="395"/>
      <c r="J289" s="17"/>
    </row>
    <row r="290" spans="1:10" s="2" customFormat="1" ht="20.25" customHeight="1" x14ac:dyDescent="0.25">
      <c r="A290" s="77"/>
      <c r="B290" s="74"/>
      <c r="C290" s="63"/>
      <c r="D290" s="70" t="s">
        <v>98</v>
      </c>
      <c r="E290" s="70">
        <f t="shared" ref="E290:J290" si="58">SUM(E291:E294)</f>
        <v>1527</v>
      </c>
      <c r="F290" s="84">
        <f t="shared" si="58"/>
        <v>379182.5</v>
      </c>
      <c r="G290" s="70">
        <f t="shared" si="58"/>
        <v>0</v>
      </c>
      <c r="H290" s="84">
        <f t="shared" si="58"/>
        <v>0</v>
      </c>
      <c r="I290" s="70">
        <f t="shared" si="58"/>
        <v>0</v>
      </c>
      <c r="J290" s="71">
        <f t="shared" si="58"/>
        <v>0</v>
      </c>
    </row>
    <row r="291" spans="1:10" s="2" customFormat="1" ht="14.25" customHeight="1" x14ac:dyDescent="0.25">
      <c r="A291" s="77"/>
      <c r="B291" s="74"/>
      <c r="C291" s="4"/>
      <c r="D291" s="83" t="s">
        <v>113</v>
      </c>
      <c r="E291" s="30"/>
      <c r="F291" s="37"/>
      <c r="G291" s="4"/>
      <c r="H291" s="17"/>
      <c r="I291" s="395"/>
      <c r="J291" s="17"/>
    </row>
    <row r="292" spans="1:10" s="2" customFormat="1" ht="14.25" customHeight="1" x14ac:dyDescent="0.25">
      <c r="A292" s="77"/>
      <c r="B292" s="74"/>
      <c r="C292" s="4"/>
      <c r="D292" s="83" t="s">
        <v>114</v>
      </c>
      <c r="E292" s="30">
        <f>822+500</f>
        <v>1322</v>
      </c>
      <c r="F292" s="37">
        <f>203445+125000</f>
        <v>328445</v>
      </c>
      <c r="G292" s="4"/>
      <c r="H292" s="17"/>
      <c r="I292" s="395"/>
      <c r="J292" s="17"/>
    </row>
    <row r="293" spans="1:10" s="2" customFormat="1" ht="14.25" customHeight="1" x14ac:dyDescent="0.25">
      <c r="A293" s="77"/>
      <c r="B293" s="74"/>
      <c r="C293" s="4"/>
      <c r="D293" s="83" t="s">
        <v>115</v>
      </c>
      <c r="E293" s="30"/>
      <c r="F293" s="37"/>
      <c r="G293" s="4"/>
      <c r="H293" s="17"/>
      <c r="I293" s="395"/>
      <c r="J293" s="17"/>
    </row>
    <row r="294" spans="1:10" s="2" customFormat="1" ht="14.25" customHeight="1" x14ac:dyDescent="0.25">
      <c r="A294" s="77"/>
      <c r="B294" s="74"/>
      <c r="C294" s="4"/>
      <c r="D294" s="83" t="s">
        <v>116</v>
      </c>
      <c r="E294" s="30">
        <f>205</f>
        <v>205</v>
      </c>
      <c r="F294" s="37">
        <f>50737.5</f>
        <v>50737.5</v>
      </c>
      <c r="G294" s="4"/>
      <c r="H294" s="17"/>
      <c r="I294" s="395"/>
      <c r="J294" s="17"/>
    </row>
    <row r="295" spans="1:10" s="2" customFormat="1" ht="21" customHeight="1" x14ac:dyDescent="0.25">
      <c r="A295" s="77"/>
      <c r="B295" s="74"/>
      <c r="C295" s="63"/>
      <c r="D295" s="70" t="s">
        <v>99</v>
      </c>
      <c r="E295" s="70">
        <f t="shared" ref="E295:J295" si="59">SUM(E296)</f>
        <v>250</v>
      </c>
      <c r="F295" s="84">
        <f t="shared" si="59"/>
        <v>61875</v>
      </c>
      <c r="G295" s="70">
        <f t="shared" si="59"/>
        <v>0</v>
      </c>
      <c r="H295" s="84">
        <f t="shared" si="59"/>
        <v>0</v>
      </c>
      <c r="I295" s="70">
        <f t="shared" si="59"/>
        <v>0</v>
      </c>
      <c r="J295" s="84">
        <f t="shared" si="59"/>
        <v>0</v>
      </c>
    </row>
    <row r="296" spans="1:10" s="2" customFormat="1" ht="14.25" customHeight="1" x14ac:dyDescent="0.25">
      <c r="A296" s="77"/>
      <c r="B296" s="74"/>
      <c r="C296" s="4"/>
      <c r="D296" s="83" t="s">
        <v>117</v>
      </c>
      <c r="E296" s="30">
        <f>250</f>
        <v>250</v>
      </c>
      <c r="F296" s="37">
        <f>61875</f>
        <v>61875</v>
      </c>
      <c r="G296" s="4"/>
      <c r="H296" s="17"/>
      <c r="I296" s="395"/>
      <c r="J296" s="17"/>
    </row>
    <row r="297" spans="1:10" s="8" customFormat="1" ht="8.25" customHeight="1" x14ac:dyDescent="0.25">
      <c r="A297" s="60"/>
      <c r="B297" s="60"/>
      <c r="C297" s="60"/>
      <c r="D297" s="60"/>
      <c r="E297" s="60"/>
      <c r="F297" s="96"/>
      <c r="G297" s="60"/>
      <c r="H297" s="96"/>
      <c r="I297" s="60"/>
      <c r="J297" s="60"/>
    </row>
    <row r="298" spans="1:10" s="9" customFormat="1" ht="20.25" customHeight="1" x14ac:dyDescent="0.25">
      <c r="A298" s="926" t="s">
        <v>201</v>
      </c>
      <c r="B298" s="831" t="s">
        <v>202</v>
      </c>
      <c r="C298" s="926" t="s">
        <v>65</v>
      </c>
      <c r="D298" s="132" t="s">
        <v>81</v>
      </c>
      <c r="E298" s="138">
        <f t="shared" ref="E298:J298" si="60">E299+E306+E314+E321+E326</f>
        <v>4</v>
      </c>
      <c r="F298" s="135">
        <f t="shared" si="60"/>
        <v>10500</v>
      </c>
      <c r="G298" s="138">
        <f t="shared" si="60"/>
        <v>0</v>
      </c>
      <c r="H298" s="135">
        <f t="shared" si="60"/>
        <v>0</v>
      </c>
      <c r="I298" s="138">
        <f t="shared" si="60"/>
        <v>0</v>
      </c>
      <c r="J298" s="135">
        <f t="shared" si="60"/>
        <v>0</v>
      </c>
    </row>
    <row r="299" spans="1:10" s="9" customFormat="1" ht="19.5" customHeight="1" x14ac:dyDescent="0.25">
      <c r="A299" s="927"/>
      <c r="B299" s="832"/>
      <c r="C299" s="927"/>
      <c r="D299" s="70" t="s">
        <v>79</v>
      </c>
      <c r="E299" s="64">
        <f>SUM(E300:E305)</f>
        <v>0</v>
      </c>
      <c r="F299" s="95"/>
      <c r="G299" s="63">
        <f>SUM(G300:G305)</f>
        <v>0</v>
      </c>
      <c r="H299" s="78">
        <f>SUM(H300:H305)</f>
        <v>0</v>
      </c>
      <c r="I299" s="63">
        <f>SUM(I300:I305)</f>
        <v>0</v>
      </c>
      <c r="J299" s="78">
        <f>SUM(J300:J305)</f>
        <v>0</v>
      </c>
    </row>
    <row r="300" spans="1:10" s="16" customFormat="1" ht="15" customHeight="1" x14ac:dyDescent="0.25">
      <c r="A300" s="15"/>
      <c r="B300" s="832"/>
      <c r="C300" s="15"/>
      <c r="D300" s="83" t="s">
        <v>91</v>
      </c>
      <c r="E300" s="44"/>
      <c r="F300" s="41"/>
      <c r="G300" s="15"/>
      <c r="H300" s="53"/>
      <c r="I300" s="410"/>
      <c r="J300" s="53"/>
    </row>
    <row r="301" spans="1:10" s="1" customFormat="1" x14ac:dyDescent="0.25">
      <c r="A301" s="5"/>
      <c r="B301" s="832"/>
      <c r="C301" s="5"/>
      <c r="D301" s="83" t="s">
        <v>92</v>
      </c>
      <c r="E301" s="44"/>
      <c r="F301" s="38"/>
      <c r="G301" s="20"/>
      <c r="H301" s="17"/>
      <c r="I301" s="20"/>
      <c r="J301" s="17"/>
    </row>
    <row r="302" spans="1:10" s="1" customFormat="1" x14ac:dyDescent="0.25">
      <c r="A302" s="5"/>
      <c r="B302" s="832"/>
      <c r="C302" s="5"/>
      <c r="D302" s="83" t="s">
        <v>93</v>
      </c>
      <c r="E302" s="44"/>
      <c r="F302" s="39"/>
      <c r="G302" s="20"/>
      <c r="H302" s="17"/>
      <c r="I302" s="20"/>
      <c r="J302" s="17"/>
    </row>
    <row r="303" spans="1:10" s="1" customFormat="1" x14ac:dyDescent="0.25">
      <c r="A303" s="5"/>
      <c r="B303" s="832"/>
      <c r="C303" s="5"/>
      <c r="D303" s="83" t="s">
        <v>94</v>
      </c>
      <c r="E303" s="44"/>
      <c r="F303" s="39"/>
      <c r="G303" s="20"/>
      <c r="H303" s="17"/>
      <c r="I303" s="20"/>
      <c r="J303" s="17"/>
    </row>
    <row r="304" spans="1:10" s="1" customFormat="1" x14ac:dyDescent="0.25">
      <c r="A304" s="5"/>
      <c r="B304" s="832"/>
      <c r="C304" s="5"/>
      <c r="D304" s="83" t="s">
        <v>95</v>
      </c>
      <c r="E304" s="44"/>
      <c r="F304" s="39"/>
      <c r="G304" s="20"/>
      <c r="H304" s="17"/>
      <c r="I304" s="20"/>
      <c r="J304" s="17"/>
    </row>
    <row r="305" spans="1:10" s="1" customFormat="1" x14ac:dyDescent="0.25">
      <c r="A305" s="5"/>
      <c r="B305" s="832"/>
      <c r="C305" s="5"/>
      <c r="D305" s="83" t="s">
        <v>96</v>
      </c>
      <c r="E305" s="44"/>
      <c r="F305" s="62"/>
      <c r="G305" s="20"/>
      <c r="H305" s="17"/>
      <c r="I305" s="20"/>
      <c r="J305" s="17"/>
    </row>
    <row r="306" spans="1:10" s="2" customFormat="1" ht="24" customHeight="1" x14ac:dyDescent="0.25">
      <c r="A306" s="5"/>
      <c r="B306" s="833"/>
      <c r="C306" s="63"/>
      <c r="D306" s="70" t="s">
        <v>80</v>
      </c>
      <c r="E306" s="70">
        <f t="shared" ref="E306:J306" si="61">SUM(E307:E313)</f>
        <v>0</v>
      </c>
      <c r="F306" s="84">
        <f t="shared" si="61"/>
        <v>0</v>
      </c>
      <c r="G306" s="70">
        <f t="shared" si="61"/>
        <v>0</v>
      </c>
      <c r="H306" s="84">
        <f t="shared" si="61"/>
        <v>0</v>
      </c>
      <c r="I306" s="70">
        <f t="shared" si="61"/>
        <v>0</v>
      </c>
      <c r="J306" s="71">
        <f t="shared" si="61"/>
        <v>0</v>
      </c>
    </row>
    <row r="307" spans="1:10" s="2" customFormat="1" ht="14.25" customHeight="1" x14ac:dyDescent="0.25">
      <c r="A307" s="103"/>
      <c r="B307" s="102"/>
      <c r="C307" s="4"/>
      <c r="D307" s="83" t="s">
        <v>100</v>
      </c>
      <c r="E307" s="30"/>
      <c r="F307" s="37"/>
      <c r="G307" s="4"/>
      <c r="H307" s="17"/>
      <c r="I307" s="395"/>
      <c r="J307" s="17"/>
    </row>
    <row r="308" spans="1:10" s="2" customFormat="1" ht="14.25" customHeight="1" x14ac:dyDescent="0.25">
      <c r="A308" s="103"/>
      <c r="B308" s="102"/>
      <c r="C308" s="4"/>
      <c r="D308" s="83" t="s">
        <v>101</v>
      </c>
      <c r="E308" s="30"/>
      <c r="F308" s="37"/>
      <c r="G308" s="4"/>
      <c r="H308" s="17"/>
      <c r="I308" s="395"/>
      <c r="J308" s="17"/>
    </row>
    <row r="309" spans="1:10" s="2" customFormat="1" ht="14.25" customHeight="1" x14ac:dyDescent="0.25">
      <c r="A309" s="103"/>
      <c r="B309" s="102"/>
      <c r="C309" s="4"/>
      <c r="D309" s="83" t="s">
        <v>102</v>
      </c>
      <c r="E309" s="30"/>
      <c r="F309" s="37"/>
      <c r="G309" s="4"/>
      <c r="H309" s="17"/>
      <c r="I309" s="395"/>
      <c r="J309" s="17"/>
    </row>
    <row r="310" spans="1:10" s="2" customFormat="1" ht="14.25" customHeight="1" x14ac:dyDescent="0.25">
      <c r="A310" s="103"/>
      <c r="B310" s="102"/>
      <c r="C310" s="4"/>
      <c r="D310" s="83" t="s">
        <v>103</v>
      </c>
      <c r="E310" s="30"/>
      <c r="F310" s="37"/>
      <c r="G310" s="4"/>
      <c r="H310" s="17"/>
      <c r="I310" s="395"/>
      <c r="J310" s="17"/>
    </row>
    <row r="311" spans="1:10" s="2" customFormat="1" ht="14.25" customHeight="1" x14ac:dyDescent="0.25">
      <c r="A311" s="103"/>
      <c r="B311" s="102"/>
      <c r="C311" s="4"/>
      <c r="D311" s="83" t="s">
        <v>104</v>
      </c>
      <c r="E311" s="30"/>
      <c r="F311" s="37"/>
      <c r="G311" s="4"/>
      <c r="H311" s="17"/>
      <c r="I311" s="395"/>
      <c r="J311" s="17"/>
    </row>
    <row r="312" spans="1:10" s="2" customFormat="1" ht="14.25" customHeight="1" x14ac:dyDescent="0.25">
      <c r="A312" s="103"/>
      <c r="B312" s="102"/>
      <c r="C312" s="4"/>
      <c r="D312" s="83" t="s">
        <v>105</v>
      </c>
      <c r="E312" s="30"/>
      <c r="F312" s="37"/>
      <c r="G312" s="4"/>
      <c r="H312" s="17"/>
      <c r="I312" s="395"/>
      <c r="J312" s="17"/>
    </row>
    <row r="313" spans="1:10" s="2" customFormat="1" ht="14.25" customHeight="1" x14ac:dyDescent="0.25">
      <c r="A313" s="103"/>
      <c r="B313" s="102"/>
      <c r="C313" s="4"/>
      <c r="D313" s="83" t="s">
        <v>106</v>
      </c>
      <c r="E313" s="30"/>
      <c r="F313" s="37"/>
      <c r="G313" s="4"/>
      <c r="H313" s="17"/>
      <c r="I313" s="395"/>
      <c r="J313" s="17"/>
    </row>
    <row r="314" spans="1:10" s="2" customFormat="1" ht="18.75" customHeight="1" x14ac:dyDescent="0.25">
      <c r="A314" s="103"/>
      <c r="B314" s="102"/>
      <c r="C314" s="63"/>
      <c r="D314" s="70" t="s">
        <v>97</v>
      </c>
      <c r="E314" s="70">
        <f t="shared" ref="E314:J314" si="62">SUM(E315:E320)</f>
        <v>4</v>
      </c>
      <c r="F314" s="84">
        <f t="shared" si="62"/>
        <v>10500</v>
      </c>
      <c r="G314" s="70">
        <f t="shared" si="62"/>
        <v>0</v>
      </c>
      <c r="H314" s="84">
        <f t="shared" si="62"/>
        <v>0</v>
      </c>
      <c r="I314" s="70">
        <f t="shared" si="62"/>
        <v>0</v>
      </c>
      <c r="J314" s="71">
        <f t="shared" si="62"/>
        <v>0</v>
      </c>
    </row>
    <row r="315" spans="1:10" s="2" customFormat="1" ht="14.25" customHeight="1" x14ac:dyDescent="0.25">
      <c r="A315" s="103"/>
      <c r="B315" s="102"/>
      <c r="C315" s="4"/>
      <c r="D315" s="83" t="s">
        <v>107</v>
      </c>
      <c r="E315" s="30"/>
      <c r="F315" s="37"/>
      <c r="G315" s="4"/>
      <c r="H315" s="17"/>
      <c r="I315" s="395"/>
      <c r="J315" s="17"/>
    </row>
    <row r="316" spans="1:10" s="2" customFormat="1" ht="14.25" customHeight="1" x14ac:dyDescent="0.25">
      <c r="A316" s="103"/>
      <c r="B316" s="102"/>
      <c r="C316" s="4"/>
      <c r="D316" s="83" t="s">
        <v>108</v>
      </c>
      <c r="E316" s="30"/>
      <c r="F316" s="37"/>
      <c r="G316" s="4"/>
      <c r="H316" s="17"/>
      <c r="I316" s="395"/>
      <c r="J316" s="17"/>
    </row>
    <row r="317" spans="1:10" s="2" customFormat="1" ht="14.25" customHeight="1" x14ac:dyDescent="0.25">
      <c r="A317" s="103"/>
      <c r="B317" s="102"/>
      <c r="C317" s="4"/>
      <c r="D317" s="83" t="s">
        <v>109</v>
      </c>
      <c r="E317" s="30"/>
      <c r="F317" s="37"/>
      <c r="G317" s="4"/>
      <c r="H317" s="17"/>
      <c r="I317" s="395"/>
      <c r="J317" s="17"/>
    </row>
    <row r="318" spans="1:10" s="2" customFormat="1" ht="14.25" customHeight="1" x14ac:dyDescent="0.25">
      <c r="A318" s="103"/>
      <c r="B318" s="102"/>
      <c r="C318" s="4"/>
      <c r="D318" s="83" t="s">
        <v>110</v>
      </c>
      <c r="E318" s="30">
        <f>4</f>
        <v>4</v>
      </c>
      <c r="F318" s="37">
        <f>10500</f>
        <v>10500</v>
      </c>
      <c r="G318" s="4"/>
      <c r="H318" s="17"/>
      <c r="I318" s="395"/>
      <c r="J318" s="17"/>
    </row>
    <row r="319" spans="1:10" s="2" customFormat="1" ht="14.25" customHeight="1" x14ac:dyDescent="0.25">
      <c r="A319" s="103"/>
      <c r="B319" s="102"/>
      <c r="C319" s="4"/>
      <c r="D319" s="83" t="s">
        <v>111</v>
      </c>
      <c r="E319" s="30"/>
      <c r="F319" s="37"/>
      <c r="G319" s="4"/>
      <c r="H319" s="17"/>
      <c r="I319" s="395"/>
      <c r="J319" s="17"/>
    </row>
    <row r="320" spans="1:10" s="2" customFormat="1" ht="14.25" customHeight="1" x14ac:dyDescent="0.25">
      <c r="A320" s="103"/>
      <c r="B320" s="102"/>
      <c r="C320" s="4"/>
      <c r="D320" s="83" t="s">
        <v>112</v>
      </c>
      <c r="E320" s="30"/>
      <c r="F320" s="37"/>
      <c r="G320" s="4"/>
      <c r="H320" s="17"/>
      <c r="I320" s="395"/>
      <c r="J320" s="17"/>
    </row>
    <row r="321" spans="1:10" s="2" customFormat="1" ht="18.75" customHeight="1" x14ac:dyDescent="0.25">
      <c r="A321" s="103"/>
      <c r="B321" s="102"/>
      <c r="C321" s="63"/>
      <c r="D321" s="70" t="s">
        <v>98</v>
      </c>
      <c r="E321" s="70">
        <f t="shared" ref="E321:J321" si="63">SUM(E322:E325)</f>
        <v>0</v>
      </c>
      <c r="F321" s="84">
        <f t="shared" si="63"/>
        <v>0</v>
      </c>
      <c r="G321" s="70">
        <f t="shared" si="63"/>
        <v>0</v>
      </c>
      <c r="H321" s="84">
        <f t="shared" si="63"/>
        <v>0</v>
      </c>
      <c r="I321" s="70">
        <f t="shared" si="63"/>
        <v>0</v>
      </c>
      <c r="J321" s="71">
        <f t="shared" si="63"/>
        <v>0</v>
      </c>
    </row>
    <row r="322" spans="1:10" s="2" customFormat="1" ht="14.25" customHeight="1" x14ac:dyDescent="0.25">
      <c r="A322" s="103"/>
      <c r="B322" s="102"/>
      <c r="C322" s="4"/>
      <c r="D322" s="83" t="s">
        <v>113</v>
      </c>
      <c r="E322" s="30"/>
      <c r="F322" s="37"/>
      <c r="G322" s="4"/>
      <c r="H322" s="17"/>
      <c r="I322" s="395"/>
      <c r="J322" s="17"/>
    </row>
    <row r="323" spans="1:10" s="2" customFormat="1" ht="14.25" customHeight="1" x14ac:dyDescent="0.25">
      <c r="A323" s="103"/>
      <c r="B323" s="102"/>
      <c r="C323" s="4"/>
      <c r="D323" s="83" t="s">
        <v>114</v>
      </c>
      <c r="E323" s="30"/>
      <c r="F323" s="37"/>
      <c r="G323" s="4"/>
      <c r="H323" s="17"/>
      <c r="I323" s="395"/>
      <c r="J323" s="17"/>
    </row>
    <row r="324" spans="1:10" s="2" customFormat="1" ht="14.25" customHeight="1" x14ac:dyDescent="0.25">
      <c r="A324" s="103"/>
      <c r="B324" s="102"/>
      <c r="C324" s="4"/>
      <c r="D324" s="83" t="s">
        <v>115</v>
      </c>
      <c r="E324" s="30"/>
      <c r="F324" s="37"/>
      <c r="G324" s="4"/>
      <c r="H324" s="17"/>
      <c r="I324" s="395"/>
      <c r="J324" s="17"/>
    </row>
    <row r="325" spans="1:10" s="2" customFormat="1" ht="14.25" customHeight="1" x14ac:dyDescent="0.25">
      <c r="A325" s="103"/>
      <c r="B325" s="102"/>
      <c r="C325" s="4"/>
      <c r="D325" s="83" t="s">
        <v>116</v>
      </c>
      <c r="E325" s="30"/>
      <c r="F325" s="37"/>
      <c r="G325" s="4"/>
      <c r="H325" s="17"/>
      <c r="I325" s="395"/>
      <c r="J325" s="17"/>
    </row>
    <row r="326" spans="1:10" s="2" customFormat="1" ht="17.25" customHeight="1" x14ac:dyDescent="0.25">
      <c r="A326" s="103"/>
      <c r="B326" s="102"/>
      <c r="C326" s="63"/>
      <c r="D326" s="70" t="s">
        <v>99</v>
      </c>
      <c r="E326" s="70">
        <f t="shared" ref="E326:J326" si="64">SUM(E327)</f>
        <v>0</v>
      </c>
      <c r="F326" s="84">
        <f t="shared" si="64"/>
        <v>0</v>
      </c>
      <c r="G326" s="70">
        <f t="shared" si="64"/>
        <v>0</v>
      </c>
      <c r="H326" s="84">
        <f t="shared" si="64"/>
        <v>0</v>
      </c>
      <c r="I326" s="70">
        <f t="shared" si="64"/>
        <v>0</v>
      </c>
      <c r="J326" s="84">
        <f t="shared" si="64"/>
        <v>0</v>
      </c>
    </row>
    <row r="327" spans="1:10" s="2" customFormat="1" ht="14.25" customHeight="1" x14ac:dyDescent="0.25">
      <c r="A327" s="103"/>
      <c r="B327" s="102"/>
      <c r="C327" s="4"/>
      <c r="D327" s="83" t="s">
        <v>117</v>
      </c>
      <c r="E327" s="30"/>
      <c r="F327" s="37"/>
      <c r="G327" s="4"/>
      <c r="H327" s="17"/>
      <c r="I327" s="395"/>
      <c r="J327" s="17"/>
    </row>
    <row r="328" spans="1:10" s="8" customFormat="1" ht="8.25" customHeight="1" x14ac:dyDescent="0.25">
      <c r="A328" s="60"/>
      <c r="B328" s="60"/>
      <c r="C328" s="60"/>
      <c r="D328" s="60"/>
      <c r="E328" s="60"/>
      <c r="F328" s="96"/>
      <c r="G328" s="60"/>
      <c r="H328" s="96"/>
      <c r="I328" s="60"/>
      <c r="J328" s="60"/>
    </row>
    <row r="329" spans="1:10" s="2" customFormat="1" ht="29.25" customHeight="1" x14ac:dyDescent="0.25">
      <c r="A329" s="398" t="s">
        <v>0</v>
      </c>
      <c r="B329" s="399" t="s">
        <v>51</v>
      </c>
      <c r="C329" s="395"/>
      <c r="D329" s="404" t="s">
        <v>3</v>
      </c>
      <c r="E329" s="398" t="s">
        <v>253</v>
      </c>
      <c r="F329" s="398" t="s">
        <v>254</v>
      </c>
      <c r="G329" s="398" t="s">
        <v>253</v>
      </c>
      <c r="H329" s="398" t="s">
        <v>254</v>
      </c>
      <c r="I329" s="398" t="s">
        <v>253</v>
      </c>
      <c r="J329" s="398" t="s">
        <v>254</v>
      </c>
    </row>
    <row r="330" spans="1:10" s="2" customFormat="1" ht="29.25" customHeight="1" x14ac:dyDescent="0.25">
      <c r="A330" s="399"/>
      <c r="B330" s="399"/>
      <c r="C330" s="395"/>
      <c r="D330" s="132" t="s">
        <v>81</v>
      </c>
      <c r="E330" s="147">
        <f>E331+E354+E366+E373+E378</f>
        <v>0</v>
      </c>
      <c r="F330" s="137">
        <f>F331+F354+F366+F373+F378</f>
        <v>0</v>
      </c>
      <c r="G330" s="147">
        <f>G331+G338+G346+G353+G358</f>
        <v>18</v>
      </c>
      <c r="H330" s="137">
        <f>H331+H338+H346+H353</f>
        <v>14711599.300000001</v>
      </c>
      <c r="I330" s="147">
        <f>I331+I354+I366+I373+I378</f>
        <v>0</v>
      </c>
      <c r="J330" s="137">
        <f>J331+J354+J366+J373+J378</f>
        <v>0</v>
      </c>
    </row>
    <row r="331" spans="1:10" s="2" customFormat="1" ht="14.25" customHeight="1" x14ac:dyDescent="0.25">
      <c r="A331" s="869" t="s">
        <v>317</v>
      </c>
      <c r="B331" s="831" t="s">
        <v>251</v>
      </c>
      <c r="C331" s="395"/>
      <c r="D331" s="224" t="s">
        <v>79</v>
      </c>
      <c r="E331" s="6"/>
      <c r="F331" s="6"/>
      <c r="G331" s="224">
        <f>SUM(G332:G337)</f>
        <v>6</v>
      </c>
      <c r="H331" s="231">
        <f>SUM(H332:H337)</f>
        <v>4159099.3</v>
      </c>
      <c r="I331" s="6"/>
      <c r="J331" s="94"/>
    </row>
    <row r="332" spans="1:10" s="2" customFormat="1" ht="14.25" customHeight="1" x14ac:dyDescent="0.25">
      <c r="A332" s="870"/>
      <c r="B332" s="832"/>
      <c r="C332" s="469"/>
      <c r="D332" s="83" t="s">
        <v>91</v>
      </c>
      <c r="E332" s="469"/>
      <c r="F332" s="469"/>
      <c r="G332" s="255"/>
      <c r="H332" s="256"/>
      <c r="I332" s="469"/>
      <c r="J332" s="17"/>
    </row>
    <row r="333" spans="1:10" s="2" customFormat="1" ht="14.25" customHeight="1" x14ac:dyDescent="0.25">
      <c r="A333" s="870"/>
      <c r="B333" s="832"/>
      <c r="C333" s="469"/>
      <c r="D333" s="83" t="s">
        <v>92</v>
      </c>
      <c r="E333" s="469"/>
      <c r="F333" s="469"/>
      <c r="G333" s="255"/>
      <c r="H333" s="256"/>
      <c r="I333" s="469"/>
      <c r="J333" s="17"/>
    </row>
    <row r="334" spans="1:10" s="2" customFormat="1" ht="13.5" customHeight="1" x14ac:dyDescent="0.25">
      <c r="A334" s="870"/>
      <c r="B334" s="832"/>
      <c r="C334" s="469"/>
      <c r="D334" s="83" t="s">
        <v>93</v>
      </c>
      <c r="E334" s="469"/>
      <c r="F334" s="469"/>
      <c r="G334" s="255"/>
      <c r="H334" s="256"/>
      <c r="I334" s="469"/>
      <c r="J334" s="17"/>
    </row>
    <row r="335" spans="1:10" s="2" customFormat="1" ht="14.25" customHeight="1" x14ac:dyDescent="0.25">
      <c r="A335" s="870"/>
      <c r="B335" s="832"/>
      <c r="C335" s="395"/>
      <c r="D335" s="196" t="s">
        <v>94</v>
      </c>
      <c r="E335" s="395"/>
      <c r="F335" s="395"/>
      <c r="G335" s="233">
        <v>6</v>
      </c>
      <c r="H335" s="234">
        <v>4159099.3</v>
      </c>
      <c r="I335" s="395"/>
      <c r="J335" s="17"/>
    </row>
    <row r="336" spans="1:10" s="2" customFormat="1" ht="14.25" customHeight="1" x14ac:dyDescent="0.25">
      <c r="A336" s="870"/>
      <c r="B336" s="832"/>
      <c r="C336" s="469"/>
      <c r="D336" s="83" t="s">
        <v>95</v>
      </c>
      <c r="E336" s="469"/>
      <c r="F336" s="469"/>
      <c r="G336" s="233"/>
      <c r="H336" s="234"/>
      <c r="I336" s="469"/>
      <c r="J336" s="17"/>
    </row>
    <row r="337" spans="1:10" s="2" customFormat="1" ht="14.25" customHeight="1" x14ac:dyDescent="0.25">
      <c r="A337" s="870"/>
      <c r="B337" s="832"/>
      <c r="C337" s="469"/>
      <c r="D337" s="83" t="s">
        <v>96</v>
      </c>
      <c r="E337" s="469"/>
      <c r="F337" s="469"/>
      <c r="G337" s="233"/>
      <c r="H337" s="234"/>
      <c r="I337" s="469"/>
      <c r="J337" s="17"/>
    </row>
    <row r="338" spans="1:10" s="2" customFormat="1" ht="14.25" customHeight="1" x14ac:dyDescent="0.25">
      <c r="A338" s="870"/>
      <c r="B338" s="832"/>
      <c r="C338" s="395"/>
      <c r="D338" s="224" t="s">
        <v>80</v>
      </c>
      <c r="E338" s="6"/>
      <c r="F338" s="6"/>
      <c r="G338" s="224">
        <f>SUM(G339:G345)</f>
        <v>1</v>
      </c>
      <c r="H338" s="231">
        <f>SUM(H339:H345)</f>
        <v>3000000</v>
      </c>
      <c r="I338" s="6"/>
      <c r="J338" s="94"/>
    </row>
    <row r="339" spans="1:10" s="2" customFormat="1" ht="14.25" customHeight="1" x14ac:dyDescent="0.25">
      <c r="A339" s="870"/>
      <c r="B339" s="832"/>
      <c r="C339" s="395"/>
      <c r="D339" s="83" t="s">
        <v>100</v>
      </c>
      <c r="E339" s="469"/>
      <c r="F339" s="469"/>
      <c r="G339" s="233"/>
      <c r="H339" s="234"/>
      <c r="I339" s="395"/>
      <c r="J339" s="17"/>
    </row>
    <row r="340" spans="1:10" s="2" customFormat="1" ht="14.25" customHeight="1" x14ac:dyDescent="0.25">
      <c r="A340" s="870"/>
      <c r="B340" s="832"/>
      <c r="C340" s="469"/>
      <c r="D340" s="83" t="s">
        <v>101</v>
      </c>
      <c r="E340" s="469"/>
      <c r="F340" s="469"/>
      <c r="G340" s="233"/>
      <c r="H340" s="234"/>
      <c r="I340" s="469"/>
      <c r="J340" s="17"/>
    </row>
    <row r="341" spans="1:10" s="2" customFormat="1" ht="14.25" customHeight="1" x14ac:dyDescent="0.25">
      <c r="A341" s="870"/>
      <c r="B341" s="832"/>
      <c r="C341" s="469"/>
      <c r="D341" s="196" t="s">
        <v>102</v>
      </c>
      <c r="E341" s="469"/>
      <c r="F341" s="469"/>
      <c r="G341" s="233">
        <v>1</v>
      </c>
      <c r="H341" s="234">
        <v>3000000</v>
      </c>
      <c r="I341" s="469"/>
      <c r="J341" s="17"/>
    </row>
    <row r="342" spans="1:10" s="2" customFormat="1" ht="14.25" customHeight="1" x14ac:dyDescent="0.25">
      <c r="A342" s="870"/>
      <c r="B342" s="832"/>
      <c r="C342" s="469"/>
      <c r="D342" s="83" t="s">
        <v>103</v>
      </c>
      <c r="E342" s="469"/>
      <c r="F342" s="469"/>
      <c r="G342" s="233"/>
      <c r="H342" s="234"/>
      <c r="I342" s="469"/>
      <c r="J342" s="17"/>
    </row>
    <row r="343" spans="1:10" s="2" customFormat="1" ht="14.25" customHeight="1" x14ac:dyDescent="0.25">
      <c r="A343" s="870"/>
      <c r="B343" s="832"/>
      <c r="C343" s="469"/>
      <c r="D343" s="83" t="s">
        <v>104</v>
      </c>
      <c r="E343" s="469"/>
      <c r="F343" s="469"/>
      <c r="G343" s="233"/>
      <c r="H343" s="234"/>
      <c r="I343" s="469"/>
      <c r="J343" s="17"/>
    </row>
    <row r="344" spans="1:10" s="2" customFormat="1" ht="14.25" customHeight="1" x14ac:dyDescent="0.25">
      <c r="A344" s="870"/>
      <c r="B344" s="832"/>
      <c r="C344" s="469"/>
      <c r="D344" s="83" t="s">
        <v>105</v>
      </c>
      <c r="E344" s="469"/>
      <c r="F344" s="469"/>
      <c r="G344" s="233"/>
      <c r="H344" s="234"/>
      <c r="I344" s="469"/>
      <c r="J344" s="17"/>
    </row>
    <row r="345" spans="1:10" s="2" customFormat="1" ht="14.25" customHeight="1" x14ac:dyDescent="0.25">
      <c r="A345" s="870"/>
      <c r="B345" s="832"/>
      <c r="C345" s="469"/>
      <c r="D345" s="83" t="s">
        <v>106</v>
      </c>
      <c r="E345" s="469"/>
      <c r="F345" s="469"/>
      <c r="G345" s="233"/>
      <c r="H345" s="234"/>
      <c r="I345" s="469"/>
      <c r="J345" s="17"/>
    </row>
    <row r="346" spans="1:10" s="2" customFormat="1" ht="14.25" customHeight="1" x14ac:dyDescent="0.25">
      <c r="A346" s="870"/>
      <c r="B346" s="832"/>
      <c r="C346" s="395"/>
      <c r="D346" s="224" t="s">
        <v>97</v>
      </c>
      <c r="E346" s="395"/>
      <c r="F346" s="395"/>
      <c r="G346" s="224">
        <f>SUM(G347:G352)</f>
        <v>6</v>
      </c>
      <c r="H346" s="231">
        <f>SUM(H347:H352)</f>
        <v>3102500</v>
      </c>
      <c r="I346" s="395"/>
      <c r="J346" s="17"/>
    </row>
    <row r="347" spans="1:10" s="2" customFormat="1" ht="14.25" customHeight="1" x14ac:dyDescent="0.25">
      <c r="A347" s="870"/>
      <c r="B347" s="832"/>
      <c r="C347" s="469"/>
      <c r="D347" s="83" t="s">
        <v>107</v>
      </c>
      <c r="E347" s="30"/>
      <c r="F347" s="37"/>
      <c r="G347" s="469"/>
      <c r="H347" s="17"/>
      <c r="I347" s="469"/>
      <c r="J347" s="17"/>
    </row>
    <row r="348" spans="1:10" s="2" customFormat="1" ht="14.25" customHeight="1" x14ac:dyDescent="0.25">
      <c r="A348" s="870"/>
      <c r="B348" s="832"/>
      <c r="C348" s="469"/>
      <c r="D348" s="83" t="s">
        <v>108</v>
      </c>
      <c r="E348" s="30"/>
      <c r="F348" s="37"/>
      <c r="G348" s="469"/>
      <c r="H348" s="17"/>
      <c r="I348" s="469"/>
      <c r="J348" s="17"/>
    </row>
    <row r="349" spans="1:10" s="2" customFormat="1" ht="14.25" customHeight="1" x14ac:dyDescent="0.25">
      <c r="A349" s="870"/>
      <c r="B349" s="832"/>
      <c r="C349" s="469"/>
      <c r="D349" s="196" t="s">
        <v>109</v>
      </c>
      <c r="E349" s="469"/>
      <c r="F349" s="469"/>
      <c r="G349" s="233">
        <v>6</v>
      </c>
      <c r="H349" s="234">
        <v>3102500</v>
      </c>
      <c r="I349" s="469"/>
      <c r="J349" s="17"/>
    </row>
    <row r="350" spans="1:10" s="2" customFormat="1" ht="14.25" customHeight="1" x14ac:dyDescent="0.25">
      <c r="A350" s="870"/>
      <c r="B350" s="832"/>
      <c r="C350" s="469"/>
      <c r="D350" s="83" t="s">
        <v>110</v>
      </c>
      <c r="E350" s="30"/>
      <c r="F350" s="37"/>
      <c r="G350" s="469"/>
      <c r="H350" s="17"/>
      <c r="I350" s="469"/>
      <c r="J350" s="17"/>
    </row>
    <row r="351" spans="1:10" s="2" customFormat="1" ht="14.25" customHeight="1" x14ac:dyDescent="0.25">
      <c r="A351" s="870"/>
      <c r="B351" s="832"/>
      <c r="C351" s="469"/>
      <c r="D351" s="83" t="s">
        <v>111</v>
      </c>
      <c r="E351" s="30"/>
      <c r="F351" s="37"/>
      <c r="G351" s="469"/>
      <c r="H351" s="17"/>
      <c r="I351" s="469"/>
      <c r="J351" s="17"/>
    </row>
    <row r="352" spans="1:10" s="2" customFormat="1" ht="14.25" customHeight="1" x14ac:dyDescent="0.25">
      <c r="A352" s="870"/>
      <c r="B352" s="832"/>
      <c r="C352" s="469"/>
      <c r="D352" s="83" t="s">
        <v>112</v>
      </c>
      <c r="E352" s="30"/>
      <c r="F352" s="37"/>
      <c r="G352" s="469"/>
      <c r="H352" s="17"/>
      <c r="I352" s="469"/>
      <c r="J352" s="17"/>
    </row>
    <row r="353" spans="1:10" s="2" customFormat="1" ht="14.25" customHeight="1" x14ac:dyDescent="0.25">
      <c r="A353" s="870"/>
      <c r="B353" s="832"/>
      <c r="C353" s="395"/>
      <c r="D353" s="224" t="s">
        <v>98</v>
      </c>
      <c r="E353" s="395"/>
      <c r="F353" s="395"/>
      <c r="G353" s="224">
        <f>SUM(G354:G357)</f>
        <v>5</v>
      </c>
      <c r="H353" s="231">
        <f>SUM(H354:H357)</f>
        <v>4450000</v>
      </c>
      <c r="I353" s="395"/>
      <c r="J353" s="17"/>
    </row>
    <row r="354" spans="1:10" s="2" customFormat="1" ht="14.25" customHeight="1" x14ac:dyDescent="0.25">
      <c r="A354" s="870"/>
      <c r="B354" s="832"/>
      <c r="C354" s="395"/>
      <c r="D354" s="259" t="s">
        <v>113</v>
      </c>
      <c r="E354" s="395"/>
      <c r="F354" s="395"/>
      <c r="G354" s="260">
        <v>2</v>
      </c>
      <c r="H354" s="284">
        <v>800000</v>
      </c>
      <c r="I354" s="395"/>
      <c r="J354" s="17"/>
    </row>
    <row r="355" spans="1:10" s="2" customFormat="1" ht="14.25" customHeight="1" x14ac:dyDescent="0.25">
      <c r="A355" s="870"/>
      <c r="B355" s="832"/>
      <c r="C355" s="469"/>
      <c r="D355" s="83" t="s">
        <v>114</v>
      </c>
      <c r="E355" s="30"/>
      <c r="F355" s="37"/>
      <c r="G355" s="233">
        <v>3</v>
      </c>
      <c r="H355" s="234">
        <v>3650000</v>
      </c>
      <c r="I355" s="469"/>
      <c r="J355" s="17"/>
    </row>
    <row r="356" spans="1:10" s="2" customFormat="1" ht="14.25" customHeight="1" x14ac:dyDescent="0.25">
      <c r="A356" s="870"/>
      <c r="B356" s="832"/>
      <c r="C356" s="469"/>
      <c r="D356" s="83" t="s">
        <v>115</v>
      </c>
      <c r="E356" s="30"/>
      <c r="F356" s="37"/>
      <c r="G356" s="469"/>
      <c r="H356" s="17"/>
      <c r="I356" s="469"/>
      <c r="J356" s="17"/>
    </row>
    <row r="357" spans="1:10" s="2" customFormat="1" ht="14.25" customHeight="1" x14ac:dyDescent="0.25">
      <c r="A357" s="870"/>
      <c r="B357" s="832"/>
      <c r="C357" s="469"/>
      <c r="D357" s="83" t="s">
        <v>116</v>
      </c>
      <c r="E357" s="30"/>
      <c r="F357" s="37"/>
      <c r="G357" s="469"/>
      <c r="H357" s="17"/>
      <c r="I357" s="469"/>
      <c r="J357" s="17"/>
    </row>
    <row r="358" spans="1:10" s="2" customFormat="1" ht="14.25" customHeight="1" x14ac:dyDescent="0.25">
      <c r="A358" s="870"/>
      <c r="B358" s="832"/>
      <c r="C358" s="469"/>
      <c r="D358" s="70" t="s">
        <v>99</v>
      </c>
      <c r="E358" s="70">
        <f t="shared" ref="E358:J358" si="65">SUM(E359)</f>
        <v>0</v>
      </c>
      <c r="F358" s="84">
        <f t="shared" si="65"/>
        <v>0</v>
      </c>
      <c r="G358" s="70">
        <f t="shared" si="65"/>
        <v>0</v>
      </c>
      <c r="H358" s="84">
        <f t="shared" si="65"/>
        <v>0</v>
      </c>
      <c r="I358" s="70">
        <f t="shared" si="65"/>
        <v>0</v>
      </c>
      <c r="J358" s="84">
        <f t="shared" si="65"/>
        <v>0</v>
      </c>
    </row>
    <row r="359" spans="1:10" s="2" customFormat="1" ht="14.25" customHeight="1" x14ac:dyDescent="0.25">
      <c r="A359" s="870"/>
      <c r="B359" s="832"/>
      <c r="C359" s="469"/>
      <c r="D359" s="83" t="s">
        <v>117</v>
      </c>
      <c r="E359" s="30"/>
      <c r="F359" s="37"/>
      <c r="G359" s="469"/>
      <c r="H359" s="17"/>
      <c r="I359" s="469"/>
      <c r="J359" s="17"/>
    </row>
    <row r="360" spans="1:10" s="2" customFormat="1" ht="14.25" customHeight="1" x14ac:dyDescent="0.25">
      <c r="A360" s="115"/>
      <c r="B360" s="50"/>
      <c r="C360" s="51"/>
      <c r="D360" s="116"/>
      <c r="E360" s="117"/>
      <c r="F360" s="118"/>
      <c r="G360" s="51"/>
      <c r="H360" s="58"/>
      <c r="I360" s="51"/>
      <c r="J360" s="58"/>
    </row>
    <row r="361" spans="1:10" x14ac:dyDescent="0.25">
      <c r="A361" t="s">
        <v>26</v>
      </c>
      <c r="B361" t="s">
        <v>28</v>
      </c>
      <c r="D361" t="s">
        <v>31</v>
      </c>
      <c r="F361"/>
    </row>
    <row r="362" spans="1:10" x14ac:dyDescent="0.25">
      <c r="F362"/>
    </row>
    <row r="363" spans="1:10" x14ac:dyDescent="0.25">
      <c r="F363"/>
    </row>
    <row r="364" spans="1:10" x14ac:dyDescent="0.25">
      <c r="F364"/>
    </row>
    <row r="365" spans="1:10" x14ac:dyDescent="0.25">
      <c r="A365" t="s">
        <v>27</v>
      </c>
      <c r="B365" t="s">
        <v>29</v>
      </c>
      <c r="D365" t="s">
        <v>32</v>
      </c>
      <c r="F365"/>
    </row>
    <row r="366" spans="1:10" x14ac:dyDescent="0.25">
      <c r="A366" t="s">
        <v>223</v>
      </c>
      <c r="B366" t="s">
        <v>30</v>
      </c>
      <c r="D366" t="s">
        <v>33</v>
      </c>
      <c r="F366"/>
    </row>
  </sheetData>
  <mergeCells count="42">
    <mergeCell ref="B331:B359"/>
    <mergeCell ref="A331:A359"/>
    <mergeCell ref="I7:J7"/>
    <mergeCell ref="B298:B306"/>
    <mergeCell ref="A14:A18"/>
    <mergeCell ref="A104:A105"/>
    <mergeCell ref="C166:C167"/>
    <mergeCell ref="A166:A167"/>
    <mergeCell ref="C104:C111"/>
    <mergeCell ref="B104:B107"/>
    <mergeCell ref="B166:B172"/>
    <mergeCell ref="C197:C198"/>
    <mergeCell ref="A197:A198"/>
    <mergeCell ref="C267:C268"/>
    <mergeCell ref="C298:C299"/>
    <mergeCell ref="A298:A299"/>
    <mergeCell ref="G7:H7"/>
    <mergeCell ref="E7:F7"/>
    <mergeCell ref="A4:J4"/>
    <mergeCell ref="A1:J1"/>
    <mergeCell ref="A2:J2"/>
    <mergeCell ref="B236:B243"/>
    <mergeCell ref="A7:A8"/>
    <mergeCell ref="B7:B8"/>
    <mergeCell ref="C7:C8"/>
    <mergeCell ref="D7:D8"/>
    <mergeCell ref="B267:B274"/>
    <mergeCell ref="A269:A270"/>
    <mergeCell ref="A11:A12"/>
    <mergeCell ref="B11:B18"/>
    <mergeCell ref="C11:C12"/>
    <mergeCell ref="A42:A43"/>
    <mergeCell ref="C73:C74"/>
    <mergeCell ref="A73:A74"/>
    <mergeCell ref="B42:B49"/>
    <mergeCell ref="B73:B80"/>
    <mergeCell ref="C42:C43"/>
    <mergeCell ref="C175:C181"/>
    <mergeCell ref="B135:B138"/>
    <mergeCell ref="C135:C142"/>
    <mergeCell ref="A238:A239"/>
    <mergeCell ref="B197:B229"/>
  </mergeCells>
  <printOptions horizontalCentered="1"/>
  <pageMargins left="0.52" right="0.67" top="0.68" bottom="0.69" header="0.3" footer="0.4"/>
  <pageSetup paperSize="5" scale="80" orientation="landscape" verticalDpi="300" r:id="rId1"/>
  <headerFooter>
    <oddFooter>&amp;LProvince of Bulacan
&amp;CPage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50"/>
  <sheetViews>
    <sheetView view="pageBreakPreview" topLeftCell="A31" zoomScale="81" zoomScaleNormal="80" zoomScaleSheetLayoutView="81" workbookViewId="0">
      <selection activeCell="E20" sqref="E20"/>
    </sheetView>
  </sheetViews>
  <sheetFormatPr defaultRowHeight="15" x14ac:dyDescent="0.25"/>
  <cols>
    <col min="1" max="1" width="14.28515625" customWidth="1"/>
    <col min="2" max="2" width="11.42578125" customWidth="1"/>
    <col min="3" max="3" width="19" style="97" customWidth="1"/>
    <col min="4" max="4" width="12" style="97" customWidth="1"/>
    <col min="5" max="5" width="18.85546875" style="97" customWidth="1"/>
    <col min="6" max="6" width="9.5703125" customWidth="1"/>
    <col min="7" max="7" width="16" customWidth="1"/>
    <col min="8" max="8" width="11" customWidth="1"/>
    <col min="9" max="9" width="17" style="97" customWidth="1"/>
    <col min="10" max="10" width="11.5703125" customWidth="1"/>
    <col min="11" max="11" width="17.140625" style="97" customWidth="1"/>
    <col min="12" max="12" width="11.42578125" customWidth="1"/>
    <col min="13" max="13" width="17.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75" x14ac:dyDescent="0.3">
      <c r="A5" s="911" t="s">
        <v>402</v>
      </c>
      <c r="B5" s="911"/>
      <c r="C5" s="911"/>
      <c r="D5" s="911"/>
      <c r="E5" s="911"/>
      <c r="F5" s="911"/>
      <c r="G5" s="911"/>
      <c r="H5" s="911"/>
      <c r="I5" s="911"/>
      <c r="J5" s="911"/>
      <c r="K5" s="911"/>
      <c r="L5" s="911"/>
      <c r="M5" s="911"/>
    </row>
    <row r="6" spans="1:13" ht="18" customHeight="1" x14ac:dyDescent="0.25">
      <c r="A6" s="912" t="str">
        <f>Summary2015!A6</f>
        <v>JANUARY TO DECEMBER 2015</v>
      </c>
      <c r="B6" s="912"/>
      <c r="C6" s="912"/>
      <c r="D6" s="912"/>
      <c r="E6" s="912"/>
      <c r="F6" s="912"/>
      <c r="G6" s="912"/>
      <c r="H6" s="912"/>
      <c r="I6" s="912"/>
      <c r="J6" s="912"/>
      <c r="K6" s="912"/>
      <c r="L6" s="912"/>
      <c r="M6" s="912"/>
    </row>
    <row r="7" spans="1:13" ht="18.75" x14ac:dyDescent="0.3">
      <c r="A7" s="576"/>
      <c r="B7" s="576"/>
      <c r="C7" s="576"/>
      <c r="D7" s="576"/>
      <c r="E7" s="576"/>
      <c r="F7" s="576"/>
      <c r="G7" s="576"/>
      <c r="H7" s="576"/>
      <c r="I7" s="576"/>
      <c r="J7" s="576"/>
      <c r="K7" s="576"/>
      <c r="L7" s="576"/>
      <c r="M7" s="576"/>
    </row>
    <row r="8" spans="1:13" s="489" customFormat="1" ht="18.75" x14ac:dyDescent="0.3">
      <c r="C8" s="490"/>
      <c r="E8" s="490"/>
      <c r="G8" s="490"/>
      <c r="I8" s="490"/>
      <c r="K8" s="490"/>
    </row>
    <row r="9" spans="1:13" s="507" customFormat="1" ht="33.75" customHeight="1" x14ac:dyDescent="0.25">
      <c r="A9" s="906" t="s">
        <v>3</v>
      </c>
      <c r="B9" s="896" t="s">
        <v>5</v>
      </c>
      <c r="C9" s="897"/>
      <c r="D9" s="897"/>
      <c r="E9" s="898"/>
      <c r="F9" s="896" t="s">
        <v>7</v>
      </c>
      <c r="G9" s="897"/>
      <c r="H9" s="897"/>
      <c r="I9" s="898"/>
      <c r="J9" s="896" t="s">
        <v>306</v>
      </c>
      <c r="K9" s="897"/>
      <c r="L9" s="897"/>
      <c r="M9" s="898"/>
    </row>
    <row r="10" spans="1:13" ht="20.2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575" t="s">
        <v>307</v>
      </c>
      <c r="C11" s="476" t="s">
        <v>60</v>
      </c>
      <c r="D11" s="575" t="s">
        <v>307</v>
      </c>
      <c r="E11" s="17" t="s">
        <v>305</v>
      </c>
      <c r="F11" s="575" t="s">
        <v>308</v>
      </c>
      <c r="G11" s="574" t="s">
        <v>60</v>
      </c>
      <c r="H11" s="575" t="s">
        <v>308</v>
      </c>
      <c r="I11" s="17" t="s">
        <v>305</v>
      </c>
      <c r="J11" s="575" t="s">
        <v>309</v>
      </c>
      <c r="K11" s="476" t="s">
        <v>60</v>
      </c>
      <c r="L11" s="575" t="s">
        <v>309</v>
      </c>
      <c r="M11" s="476" t="s">
        <v>305</v>
      </c>
    </row>
    <row r="12" spans="1:13" s="605" customFormat="1" ht="15.6" x14ac:dyDescent="0.3">
      <c r="A12" s="601" t="s">
        <v>14</v>
      </c>
      <c r="B12" s="602">
        <f>B13+B20+B28+B35+B40</f>
        <v>67678</v>
      </c>
      <c r="C12" s="603">
        <f>C13+C20+C28+C35+C40</f>
        <v>1015170000</v>
      </c>
      <c r="D12" s="602">
        <f t="shared" ref="D12:E12" si="0">D13+D20+D28+D35+D40</f>
        <v>69012</v>
      </c>
      <c r="E12" s="604">
        <f t="shared" si="0"/>
        <v>724220700</v>
      </c>
      <c r="F12" s="602">
        <f>F13+F20+F28+F35+F40</f>
        <v>6682</v>
      </c>
      <c r="G12" s="603">
        <f>G13+G20+G28+G35+G40</f>
        <v>66820000</v>
      </c>
      <c r="H12" s="602">
        <f t="shared" ref="H12" si="1">H13+H20+H28+H35+H40</f>
        <v>2395</v>
      </c>
      <c r="I12" s="604">
        <f t="shared" ref="I12" si="2">I13+I20+I28+I35+I40</f>
        <v>17203000</v>
      </c>
      <c r="J12" s="602">
        <f>J13+J20+J28+J35+J40</f>
        <v>42700</v>
      </c>
      <c r="K12" s="603">
        <f>K13+K20+K28+K35+K40</f>
        <v>66612000</v>
      </c>
      <c r="L12" s="602">
        <f t="shared" ref="L12" si="3">L13+L20+L28+L35+L40</f>
        <v>32973</v>
      </c>
      <c r="M12" s="604">
        <f t="shared" ref="M12" si="4">M13+M20+M28+M35+M40</f>
        <v>56389860</v>
      </c>
    </row>
    <row r="13" spans="1:13" ht="14.45" x14ac:dyDescent="0.3">
      <c r="A13" s="349" t="s">
        <v>278</v>
      </c>
      <c r="B13" s="477">
        <f t="shared" ref="B13:M13" si="5">SUM(B14:B19)</f>
        <v>12900</v>
      </c>
      <c r="C13" s="351">
        <f t="shared" si="5"/>
        <v>193500000</v>
      </c>
      <c r="D13" s="477">
        <f t="shared" si="5"/>
        <v>14294</v>
      </c>
      <c r="E13" s="351">
        <f t="shared" si="5"/>
        <v>147645300</v>
      </c>
      <c r="F13" s="477">
        <f t="shared" si="5"/>
        <v>2009</v>
      </c>
      <c r="G13" s="351">
        <f t="shared" si="5"/>
        <v>20090000</v>
      </c>
      <c r="H13" s="477">
        <f t="shared" si="5"/>
        <v>357</v>
      </c>
      <c r="I13" s="351">
        <f t="shared" si="5"/>
        <v>2095000</v>
      </c>
      <c r="J13" s="477">
        <f t="shared" si="5"/>
        <v>9000</v>
      </c>
      <c r="K13" s="351">
        <f t="shared" si="5"/>
        <v>14040000</v>
      </c>
      <c r="L13" s="350">
        <f t="shared" si="5"/>
        <v>9807</v>
      </c>
      <c r="M13" s="351">
        <f t="shared" si="5"/>
        <v>11135494</v>
      </c>
    </row>
    <row r="14" spans="1:13" x14ac:dyDescent="0.25">
      <c r="A14" s="83" t="s">
        <v>91</v>
      </c>
      <c r="B14" s="426">
        <f>'Bul_1st '!B13</f>
        <v>1702</v>
      </c>
      <c r="C14" s="100">
        <f>'Bul_1st '!C13</f>
        <v>25530000</v>
      </c>
      <c r="D14" s="752">
        <f>'Bul_1st '!D13</f>
        <v>1762</v>
      </c>
      <c r="E14" s="100">
        <f>'Bul_1st '!E13</f>
        <v>18072800</v>
      </c>
      <c r="F14" s="30">
        <f>'Bul_1st '!F13</f>
        <v>230</v>
      </c>
      <c r="G14" s="579">
        <f>'Bul_1st '!G13</f>
        <v>2300000</v>
      </c>
      <c r="H14" s="30">
        <f>'Bul_1st '!H13</f>
        <v>30</v>
      </c>
      <c r="I14" s="618">
        <f>'Bul_1st '!I13</f>
        <v>150000</v>
      </c>
      <c r="J14" s="575">
        <f>'Bul_1st '!J13</f>
        <v>1300</v>
      </c>
      <c r="K14" s="17">
        <f>'Bul_1st '!K13</f>
        <v>2028000</v>
      </c>
      <c r="L14" s="617">
        <f>'Bul_1st '!L13</f>
        <v>1311</v>
      </c>
      <c r="M14" s="17">
        <f>'Bul_1st '!M13</f>
        <v>1533870</v>
      </c>
    </row>
    <row r="15" spans="1:13" x14ac:dyDescent="0.25">
      <c r="A15" s="83" t="s">
        <v>92</v>
      </c>
      <c r="B15" s="426">
        <f>'Bul_1st '!B14</f>
        <v>1849</v>
      </c>
      <c r="C15" s="100">
        <f>'Bul_1st '!C14</f>
        <v>27735000</v>
      </c>
      <c r="D15" s="752">
        <f>'Bul_1st '!D14</f>
        <v>2344</v>
      </c>
      <c r="E15" s="100">
        <f>'Bul_1st '!E14</f>
        <v>25604500</v>
      </c>
      <c r="F15" s="30">
        <f>'Bul_1st '!F14</f>
        <v>685</v>
      </c>
      <c r="G15" s="618">
        <f>'Bul_1st '!G14</f>
        <v>6850000</v>
      </c>
      <c r="H15" s="30">
        <f>'Bul_1st '!H14</f>
        <v>83</v>
      </c>
      <c r="I15" s="618">
        <f>'Bul_1st '!I14</f>
        <v>540000</v>
      </c>
      <c r="J15" s="617">
        <f>'Bul_1st '!J14</f>
        <v>1300</v>
      </c>
      <c r="K15" s="17">
        <f>'Bul_1st '!K14</f>
        <v>2028000</v>
      </c>
      <c r="L15" s="617">
        <f>'Bul_1st '!L14</f>
        <v>1417</v>
      </c>
      <c r="M15" s="17">
        <f>'Bul_1st '!M14</f>
        <v>921050</v>
      </c>
    </row>
    <row r="16" spans="1:13" x14ac:dyDescent="0.25">
      <c r="A16" s="83" t="s">
        <v>93</v>
      </c>
      <c r="B16" s="426">
        <f>'Bul_1st '!B15</f>
        <v>3275</v>
      </c>
      <c r="C16" s="100">
        <f>'Bul_1st '!C15</f>
        <v>49125000</v>
      </c>
      <c r="D16" s="752">
        <f>'Bul_1st '!D15</f>
        <v>3319</v>
      </c>
      <c r="E16" s="100">
        <f>'Bul_1st '!E15</f>
        <v>34096000</v>
      </c>
      <c r="F16" s="30">
        <f>'Bul_1st '!F15</f>
        <v>300</v>
      </c>
      <c r="G16" s="618">
        <f>'Bul_1st '!G15</f>
        <v>3000000</v>
      </c>
      <c r="H16" s="30">
        <f>'Bul_1st '!H15</f>
        <v>89</v>
      </c>
      <c r="I16" s="618">
        <f>'Bul_1st '!I15</f>
        <v>610000</v>
      </c>
      <c r="J16" s="617">
        <f>'Bul_1st '!J15</f>
        <v>3000</v>
      </c>
      <c r="K16" s="17">
        <f>'Bul_1st '!K15</f>
        <v>4680000</v>
      </c>
      <c r="L16" s="617">
        <f>'Bul_1st '!L15</f>
        <v>3583</v>
      </c>
      <c r="M16" s="17">
        <f>'Bul_1st '!M15</f>
        <v>5656553</v>
      </c>
    </row>
    <row r="17" spans="1:13" x14ac:dyDescent="0.25">
      <c r="A17" s="83" t="s">
        <v>94</v>
      </c>
      <c r="B17" s="426">
        <f>'Bul_1st '!B16</f>
        <v>2632</v>
      </c>
      <c r="C17" s="100">
        <f>'Bul_1st '!C16</f>
        <v>39480000</v>
      </c>
      <c r="D17" s="752">
        <f>'Bul_1st '!D16</f>
        <v>3371</v>
      </c>
      <c r="E17" s="100">
        <f>'Bul_1st '!E16</f>
        <v>33497100</v>
      </c>
      <c r="F17" s="30">
        <f>'Bul_1st '!F16</f>
        <v>376</v>
      </c>
      <c r="G17" s="618">
        <f>'Bul_1st '!G16</f>
        <v>3760000</v>
      </c>
      <c r="H17" s="30">
        <f>'Bul_1st '!H16</f>
        <v>4</v>
      </c>
      <c r="I17" s="618">
        <f>'Bul_1st '!I16</f>
        <v>35000</v>
      </c>
      <c r="J17" s="617">
        <f>'Bul_1st '!J16</f>
        <v>2000</v>
      </c>
      <c r="K17" s="17">
        <f>'Bul_1st '!K16</f>
        <v>3120000</v>
      </c>
      <c r="L17" s="617">
        <f>'Bul_1st '!L16</f>
        <v>1995</v>
      </c>
      <c r="M17" s="17">
        <f>'Bul_1st '!M16</f>
        <v>2204475</v>
      </c>
    </row>
    <row r="18" spans="1:13" x14ac:dyDescent="0.25">
      <c r="A18" s="83" t="s">
        <v>95</v>
      </c>
      <c r="B18" s="426">
        <f>'Bul_1st '!B17</f>
        <v>1307</v>
      </c>
      <c r="C18" s="100">
        <f>'Bul_1st '!C17</f>
        <v>19605000</v>
      </c>
      <c r="D18" s="752">
        <f>'Bul_1st '!D17</f>
        <v>1392</v>
      </c>
      <c r="E18" s="100">
        <f>'Bul_1st '!E17</f>
        <v>14534600</v>
      </c>
      <c r="F18" s="30">
        <f>'Bul_1st '!F17</f>
        <v>0</v>
      </c>
      <c r="G18" s="618">
        <f>'Bul_1st '!G17</f>
        <v>0</v>
      </c>
      <c r="H18" s="30">
        <f>'Bul_1st '!H17</f>
        <v>1</v>
      </c>
      <c r="I18" s="618">
        <f>'Bul_1st '!I17</f>
        <v>10000</v>
      </c>
      <c r="J18" s="617">
        <f>'Bul_1st '!J17</f>
        <v>0</v>
      </c>
      <c r="K18" s="17">
        <f>'Bul_1st '!K17</f>
        <v>0</v>
      </c>
      <c r="L18" s="617">
        <f>'Bul_1st '!L17</f>
        <v>0</v>
      </c>
      <c r="M18" s="17">
        <f>'Bul_1st '!M17</f>
        <v>0</v>
      </c>
    </row>
    <row r="19" spans="1:13" x14ac:dyDescent="0.25">
      <c r="A19" s="83" t="s">
        <v>96</v>
      </c>
      <c r="B19" s="426">
        <f>'Bul_1st '!B18</f>
        <v>2135</v>
      </c>
      <c r="C19" s="100">
        <f>'Bul_1st '!C18</f>
        <v>32025000</v>
      </c>
      <c r="D19" s="752">
        <f>'Bul_1st '!D18</f>
        <v>2106</v>
      </c>
      <c r="E19" s="100">
        <f>'Bul_1st '!E18</f>
        <v>21840300</v>
      </c>
      <c r="F19" s="30">
        <f>'Bul_1st '!F18</f>
        <v>418</v>
      </c>
      <c r="G19" s="618">
        <f>'Bul_1st '!G18</f>
        <v>4180000</v>
      </c>
      <c r="H19" s="30">
        <f>'Bul_1st '!H18</f>
        <v>150</v>
      </c>
      <c r="I19" s="618">
        <f>'Bul_1st '!I18</f>
        <v>750000</v>
      </c>
      <c r="J19" s="617">
        <f>'Bul_1st '!J18</f>
        <v>1400</v>
      </c>
      <c r="K19" s="17">
        <f>'Bul_1st '!K18</f>
        <v>2184000</v>
      </c>
      <c r="L19" s="617">
        <f>'Bul_1st '!L18</f>
        <v>1501</v>
      </c>
      <c r="M19" s="17">
        <f>'Bul_1st '!M18</f>
        <v>819546</v>
      </c>
    </row>
    <row r="20" spans="1:13" ht="14.45" x14ac:dyDescent="0.3">
      <c r="A20" s="349" t="s">
        <v>397</v>
      </c>
      <c r="B20" s="477">
        <f t="shared" ref="B20:M20" si="6">SUM(B21:B27)</f>
        <v>11742</v>
      </c>
      <c r="C20" s="351">
        <f t="shared" si="6"/>
        <v>176130000</v>
      </c>
      <c r="D20" s="477">
        <f t="shared" si="6"/>
        <v>12133</v>
      </c>
      <c r="E20" s="351">
        <f t="shared" si="6"/>
        <v>128193100</v>
      </c>
      <c r="F20" s="477">
        <f t="shared" si="6"/>
        <v>640</v>
      </c>
      <c r="G20" s="351">
        <f t="shared" si="6"/>
        <v>6400000</v>
      </c>
      <c r="H20" s="477">
        <f t="shared" si="6"/>
        <v>515</v>
      </c>
      <c r="I20" s="351">
        <f t="shared" si="6"/>
        <v>3510000</v>
      </c>
      <c r="J20" s="477">
        <f t="shared" si="6"/>
        <v>12134</v>
      </c>
      <c r="K20" s="351">
        <f t="shared" si="6"/>
        <v>18929040</v>
      </c>
      <c r="L20" s="350">
        <f t="shared" si="6"/>
        <v>6309</v>
      </c>
      <c r="M20" s="351">
        <f t="shared" si="6"/>
        <v>28549299</v>
      </c>
    </row>
    <row r="21" spans="1:13" ht="14.45" x14ac:dyDescent="0.3">
      <c r="A21" s="83" t="s">
        <v>100</v>
      </c>
      <c r="B21" s="426">
        <f>Bul_2nd!B13</f>
        <v>1493</v>
      </c>
      <c r="C21" s="100">
        <f>Bul_2nd!C13</f>
        <v>22395000</v>
      </c>
      <c r="D21" s="426">
        <f>Bul_2nd!D13</f>
        <v>1647</v>
      </c>
      <c r="E21" s="100">
        <f>Bul_2nd!E13</f>
        <v>16750900</v>
      </c>
      <c r="F21" s="30">
        <f>Bul_2nd!F13</f>
        <v>0</v>
      </c>
      <c r="G21" s="579">
        <f>Bul_2nd!G13</f>
        <v>0</v>
      </c>
      <c r="H21" s="30">
        <f>Bul_2nd!H13</f>
        <v>0</v>
      </c>
      <c r="I21" s="618">
        <f>Bul_2nd!I13</f>
        <v>0</v>
      </c>
      <c r="J21" s="575">
        <f>Bul_2nd!J13</f>
        <v>1122</v>
      </c>
      <c r="K21" s="17">
        <f>Bul_2nd!K13</f>
        <v>1750320</v>
      </c>
      <c r="L21" s="617">
        <f>Bul_2nd!L13</f>
        <v>0</v>
      </c>
      <c r="M21" s="17">
        <f>Bul_2nd!M13</f>
        <v>0</v>
      </c>
    </row>
    <row r="22" spans="1:13" ht="14.45" x14ac:dyDescent="0.3">
      <c r="A22" s="83" t="s">
        <v>101</v>
      </c>
      <c r="B22" s="426">
        <f>Bul_2nd!B14</f>
        <v>2060</v>
      </c>
      <c r="C22" s="100">
        <f>Bul_2nd!C14</f>
        <v>30900000</v>
      </c>
      <c r="D22" s="426">
        <f>Bul_2nd!D14</f>
        <v>1906</v>
      </c>
      <c r="E22" s="100">
        <f>Bul_2nd!E14</f>
        <v>19624300</v>
      </c>
      <c r="F22" s="30">
        <f>Bul_2nd!F14</f>
        <v>0</v>
      </c>
      <c r="G22" s="618">
        <f>Bul_2nd!G14</f>
        <v>0</v>
      </c>
      <c r="H22" s="30">
        <f>Bul_2nd!H14</f>
        <v>0</v>
      </c>
      <c r="I22" s="618">
        <f>Bul_2nd!I14</f>
        <v>0</v>
      </c>
      <c r="J22" s="617">
        <f>Bul_2nd!J14</f>
        <v>3400</v>
      </c>
      <c r="K22" s="17">
        <f>Bul_2nd!K14</f>
        <v>5304000</v>
      </c>
      <c r="L22" s="617">
        <f>Bul_2nd!L14</f>
        <v>0</v>
      </c>
      <c r="M22" s="17">
        <f>Bul_2nd!M14</f>
        <v>0</v>
      </c>
    </row>
    <row r="23" spans="1:13" x14ac:dyDescent="0.25">
      <c r="A23" s="83" t="s">
        <v>102</v>
      </c>
      <c r="B23" s="426">
        <f>Bul_2nd!B15</f>
        <v>1992</v>
      </c>
      <c r="C23" s="100">
        <f>Bul_2nd!C15</f>
        <v>29880000</v>
      </c>
      <c r="D23" s="426">
        <f>Bul_2nd!D15</f>
        <v>2243</v>
      </c>
      <c r="E23" s="100">
        <f>Bul_2nd!E15</f>
        <v>23637700</v>
      </c>
      <c r="F23" s="30">
        <f>Bul_2nd!F15</f>
        <v>207</v>
      </c>
      <c r="G23" s="618">
        <f>Bul_2nd!G15</f>
        <v>2070000</v>
      </c>
      <c r="H23" s="30">
        <f>Bul_2nd!H15</f>
        <v>76</v>
      </c>
      <c r="I23" s="618">
        <f>Bul_2nd!I15</f>
        <v>760000</v>
      </c>
      <c r="J23" s="617">
        <f>Bul_2nd!J15</f>
        <v>912</v>
      </c>
      <c r="K23" s="17">
        <f>Bul_2nd!K15</f>
        <v>1422720</v>
      </c>
      <c r="L23" s="617">
        <f>Bul_2nd!L15</f>
        <v>0</v>
      </c>
      <c r="M23" s="17">
        <f>Bul_2nd!M15</f>
        <v>0</v>
      </c>
    </row>
    <row r="24" spans="1:13" x14ac:dyDescent="0.25">
      <c r="A24" s="83" t="s">
        <v>103</v>
      </c>
      <c r="B24" s="426">
        <f>Bul_2nd!B16</f>
        <v>1523</v>
      </c>
      <c r="C24" s="100">
        <f>Bul_2nd!C16</f>
        <v>22845000</v>
      </c>
      <c r="D24" s="426">
        <f>Bul_2nd!D16</f>
        <v>1417</v>
      </c>
      <c r="E24" s="100">
        <f>Bul_2nd!E16</f>
        <v>15106000</v>
      </c>
      <c r="F24" s="30">
        <f>Bul_2nd!F16</f>
        <v>163</v>
      </c>
      <c r="G24" s="618">
        <f>Bul_2nd!G16</f>
        <v>1630000</v>
      </c>
      <c r="H24" s="30">
        <f>Bul_2nd!H16</f>
        <v>106</v>
      </c>
      <c r="I24" s="618">
        <f>Bul_2nd!I16</f>
        <v>735000</v>
      </c>
      <c r="J24" s="617">
        <f>Bul_2nd!J16</f>
        <v>1500</v>
      </c>
      <c r="K24" s="17">
        <f>Bul_2nd!K16</f>
        <v>2340000</v>
      </c>
      <c r="L24" s="617">
        <f>Bul_2nd!L16</f>
        <v>1786</v>
      </c>
      <c r="M24" s="17">
        <f>Bul_2nd!M16</f>
        <v>22758364</v>
      </c>
    </row>
    <row r="25" spans="1:13" x14ac:dyDescent="0.25">
      <c r="A25" s="83" t="s">
        <v>104</v>
      </c>
      <c r="B25" s="426">
        <f>Bul_2nd!B17</f>
        <v>1523</v>
      </c>
      <c r="C25" s="100">
        <f>Bul_2nd!C17</f>
        <v>22845000</v>
      </c>
      <c r="D25" s="426">
        <f>Bul_2nd!D17</f>
        <v>1485</v>
      </c>
      <c r="E25" s="100">
        <f>Bul_2nd!E17</f>
        <v>15693200</v>
      </c>
      <c r="F25" s="30">
        <f>Bul_2nd!F17</f>
        <v>0</v>
      </c>
      <c r="G25" s="618">
        <f>Bul_2nd!G17</f>
        <v>0</v>
      </c>
      <c r="H25" s="30">
        <f>Bul_2nd!H17</f>
        <v>1</v>
      </c>
      <c r="I25" s="618">
        <f>Bul_2nd!I17</f>
        <v>10000</v>
      </c>
      <c r="J25" s="617">
        <f>Bul_2nd!J17</f>
        <v>1900</v>
      </c>
      <c r="K25" s="17">
        <f>Bul_2nd!K17</f>
        <v>2964000</v>
      </c>
      <c r="L25" s="617">
        <f>Bul_2nd!L17</f>
        <v>1017</v>
      </c>
      <c r="M25" s="17">
        <f>Bul_2nd!M17</f>
        <v>477451</v>
      </c>
    </row>
    <row r="26" spans="1:13" x14ac:dyDescent="0.25">
      <c r="A26" s="83" t="s">
        <v>105</v>
      </c>
      <c r="B26" s="426">
        <f>Bul_2nd!B18</f>
        <v>1801</v>
      </c>
      <c r="C26" s="100">
        <f>Bul_2nd!C18</f>
        <v>27015000</v>
      </c>
      <c r="D26" s="426">
        <f>Bul_2nd!D18</f>
        <v>2010</v>
      </c>
      <c r="E26" s="100">
        <f>Bul_2nd!E18</f>
        <v>22298700</v>
      </c>
      <c r="F26" s="30">
        <f>Bul_2nd!F18</f>
        <v>0</v>
      </c>
      <c r="G26" s="618">
        <f>Bul_2nd!G18</f>
        <v>0</v>
      </c>
      <c r="H26" s="30">
        <f>Bul_2nd!H18</f>
        <v>91</v>
      </c>
      <c r="I26" s="618">
        <f>Bul_2nd!I18</f>
        <v>650000</v>
      </c>
      <c r="J26" s="617">
        <f>Bul_2nd!J18</f>
        <v>1500</v>
      </c>
      <c r="K26" s="17">
        <f>Bul_2nd!K18</f>
        <v>2340000</v>
      </c>
      <c r="L26" s="617">
        <f>Bul_2nd!L18</f>
        <v>1394</v>
      </c>
      <c r="M26" s="17">
        <f>Bul_2nd!M18</f>
        <v>1993420</v>
      </c>
    </row>
    <row r="27" spans="1:13" x14ac:dyDescent="0.25">
      <c r="A27" s="83" t="s">
        <v>106</v>
      </c>
      <c r="B27" s="426">
        <f>Bul_2nd!B19</f>
        <v>1350</v>
      </c>
      <c r="C27" s="100">
        <f>Bul_2nd!C19</f>
        <v>20250000</v>
      </c>
      <c r="D27" s="426">
        <f>Bul_2nd!D19</f>
        <v>1425</v>
      </c>
      <c r="E27" s="100">
        <f>Bul_2nd!E19</f>
        <v>15082300</v>
      </c>
      <c r="F27" s="30">
        <f>Bul_2nd!F19</f>
        <v>270</v>
      </c>
      <c r="G27" s="618">
        <f>Bul_2nd!G19</f>
        <v>2700000</v>
      </c>
      <c r="H27" s="30">
        <f>Bul_2nd!H19</f>
        <v>241</v>
      </c>
      <c r="I27" s="618">
        <f>Bul_2nd!I19</f>
        <v>1355000</v>
      </c>
      <c r="J27" s="617">
        <f>Bul_2nd!J19</f>
        <v>1800</v>
      </c>
      <c r="K27" s="17">
        <f>Bul_2nd!K19</f>
        <v>2808000</v>
      </c>
      <c r="L27" s="617">
        <f>Bul_2nd!L19</f>
        <v>2112</v>
      </c>
      <c r="M27" s="17">
        <f>Bul_2nd!M19</f>
        <v>3320064</v>
      </c>
    </row>
    <row r="28" spans="1:13" x14ac:dyDescent="0.25">
      <c r="A28" s="349" t="s">
        <v>398</v>
      </c>
      <c r="B28" s="477">
        <f t="shared" ref="B28:M28" si="7">SUM(B29:B34)</f>
        <v>17020</v>
      </c>
      <c r="C28" s="351">
        <f t="shared" si="7"/>
        <v>255300000</v>
      </c>
      <c r="D28" s="477">
        <f t="shared" si="7"/>
        <v>16827</v>
      </c>
      <c r="E28" s="351">
        <f t="shared" si="7"/>
        <v>173234700</v>
      </c>
      <c r="F28" s="477">
        <f t="shared" si="7"/>
        <v>2155</v>
      </c>
      <c r="G28" s="351">
        <f t="shared" si="7"/>
        <v>21550000</v>
      </c>
      <c r="H28" s="477">
        <f t="shared" si="7"/>
        <v>804</v>
      </c>
      <c r="I28" s="351">
        <f t="shared" si="7"/>
        <v>7618000</v>
      </c>
      <c r="J28" s="477">
        <f t="shared" si="7"/>
        <v>9600</v>
      </c>
      <c r="K28" s="351">
        <f t="shared" si="7"/>
        <v>14976000</v>
      </c>
      <c r="L28" s="350">
        <f t="shared" si="7"/>
        <v>7150</v>
      </c>
      <c r="M28" s="351">
        <f t="shared" si="7"/>
        <v>7387010</v>
      </c>
    </row>
    <row r="29" spans="1:13" x14ac:dyDescent="0.25">
      <c r="A29" s="83" t="s">
        <v>107</v>
      </c>
      <c r="B29" s="426">
        <f>Bul_3rd!B13</f>
        <v>1354</v>
      </c>
      <c r="C29" s="100">
        <f>Bul_3rd!C13</f>
        <v>20310000</v>
      </c>
      <c r="D29" s="426">
        <f>Bul_3rd!D13</f>
        <v>1323</v>
      </c>
      <c r="E29" s="100">
        <f>Bul_3rd!E13</f>
        <v>13631800</v>
      </c>
      <c r="F29" s="30">
        <f>Bul_3rd!F13</f>
        <v>387</v>
      </c>
      <c r="G29" s="579">
        <f>Bul_3rd!G13</f>
        <v>3870000</v>
      </c>
      <c r="H29" s="30">
        <f>Bul_3rd!H13</f>
        <v>28</v>
      </c>
      <c r="I29" s="618">
        <f>Bul_3rd!I13</f>
        <v>280000</v>
      </c>
      <c r="J29" s="575">
        <f>Bul_3rd!J13</f>
        <v>1300</v>
      </c>
      <c r="K29" s="17">
        <f>Bul_3rd!K13</f>
        <v>2028000</v>
      </c>
      <c r="L29" s="617">
        <f>Bul_3rd!L13</f>
        <v>1090</v>
      </c>
      <c r="M29" s="17">
        <f>Bul_3rd!M13</f>
        <v>1713500</v>
      </c>
    </row>
    <row r="30" spans="1:13" x14ac:dyDescent="0.25">
      <c r="A30" s="83" t="s">
        <v>108</v>
      </c>
      <c r="B30" s="426">
        <f>Bul_3rd!B14</f>
        <v>2056</v>
      </c>
      <c r="C30" s="100">
        <f>Bul_3rd!C14</f>
        <v>30840000</v>
      </c>
      <c r="D30" s="426">
        <f>Bul_3rd!D14</f>
        <v>1891</v>
      </c>
      <c r="E30" s="100">
        <f>Bul_3rd!E14</f>
        <v>19873000</v>
      </c>
      <c r="F30" s="30">
        <f>Bul_3rd!F14</f>
        <v>100</v>
      </c>
      <c r="G30" s="618">
        <f>Bul_3rd!G14</f>
        <v>1000000</v>
      </c>
      <c r="H30" s="30">
        <f>Bul_3rd!H14</f>
        <v>232</v>
      </c>
      <c r="I30" s="618">
        <f>Bul_3rd!I14</f>
        <v>2320000</v>
      </c>
      <c r="J30" s="617">
        <f>Bul_3rd!J14</f>
        <v>900</v>
      </c>
      <c r="K30" s="17">
        <f>Bul_3rd!K14</f>
        <v>1404000</v>
      </c>
      <c r="L30" s="617">
        <f>Bul_3rd!L14</f>
        <v>0</v>
      </c>
      <c r="M30" s="17">
        <f>Bul_3rd!M14</f>
        <v>0</v>
      </c>
    </row>
    <row r="31" spans="1:13" x14ac:dyDescent="0.25">
      <c r="A31" s="83" t="s">
        <v>109</v>
      </c>
      <c r="B31" s="426">
        <f>Bul_3rd!B15</f>
        <v>3406</v>
      </c>
      <c r="C31" s="100">
        <f>Bul_3rd!C15</f>
        <v>51090000</v>
      </c>
      <c r="D31" s="426">
        <f>Bul_3rd!D15</f>
        <v>3415</v>
      </c>
      <c r="E31" s="100">
        <f>Bul_3rd!E15</f>
        <v>35856900</v>
      </c>
      <c r="F31" s="30">
        <f>Bul_3rd!F15</f>
        <v>389</v>
      </c>
      <c r="G31" s="618">
        <f>Bul_3rd!G15</f>
        <v>3890000</v>
      </c>
      <c r="H31" s="30">
        <f>Bul_3rd!H15</f>
        <v>124</v>
      </c>
      <c r="I31" s="618">
        <f>Bul_3rd!I15</f>
        <v>643000</v>
      </c>
      <c r="J31" s="617">
        <f>Bul_3rd!J15</f>
        <v>1800</v>
      </c>
      <c r="K31" s="17">
        <f>Bul_3rd!K15</f>
        <v>2808000</v>
      </c>
      <c r="L31" s="617">
        <f>Bul_3rd!L15</f>
        <v>2169</v>
      </c>
      <c r="M31" s="17">
        <f>Bul_3rd!M15</f>
        <v>394758</v>
      </c>
    </row>
    <row r="32" spans="1:13" x14ac:dyDescent="0.25">
      <c r="A32" s="83" t="s">
        <v>110</v>
      </c>
      <c r="B32" s="426">
        <f>Bul_3rd!B16</f>
        <v>2947</v>
      </c>
      <c r="C32" s="100">
        <f>Bul_3rd!C16</f>
        <v>44205000</v>
      </c>
      <c r="D32" s="426">
        <f>Bul_3rd!D16</f>
        <v>2872</v>
      </c>
      <c r="E32" s="100">
        <f>Bul_3rd!E16</f>
        <v>29597300</v>
      </c>
      <c r="F32" s="30">
        <f>Bul_3rd!F16</f>
        <v>709</v>
      </c>
      <c r="G32" s="618">
        <f>Bul_3rd!G16</f>
        <v>7090000</v>
      </c>
      <c r="H32" s="30">
        <f>Bul_3rd!H16</f>
        <v>111</v>
      </c>
      <c r="I32" s="618">
        <f>Bul_3rd!I16</f>
        <v>835000</v>
      </c>
      <c r="J32" s="617">
        <f>Bul_3rd!J16</f>
        <v>1800</v>
      </c>
      <c r="K32" s="17">
        <f>Bul_3rd!K16</f>
        <v>2808000</v>
      </c>
      <c r="L32" s="617">
        <f>Bul_3rd!L16</f>
        <v>1991</v>
      </c>
      <c r="M32" s="17">
        <f>Bul_3rd!M16</f>
        <v>3129852</v>
      </c>
    </row>
    <row r="33" spans="1:13" x14ac:dyDescent="0.25">
      <c r="A33" s="83" t="s">
        <v>111</v>
      </c>
      <c r="B33" s="426">
        <f>Bul_3rd!B17</f>
        <v>5023</v>
      </c>
      <c r="C33" s="100">
        <f>Bul_3rd!C17</f>
        <v>75345000</v>
      </c>
      <c r="D33" s="426">
        <f>Bul_3rd!D17</f>
        <v>5143</v>
      </c>
      <c r="E33" s="100">
        <f>Bul_3rd!E17</f>
        <v>51620300</v>
      </c>
      <c r="F33" s="30">
        <f>Bul_3rd!F17</f>
        <v>200</v>
      </c>
      <c r="G33" s="618">
        <f>Bul_3rd!G17</f>
        <v>2000000</v>
      </c>
      <c r="H33" s="30">
        <f>Bul_3rd!H17</f>
        <v>309</v>
      </c>
      <c r="I33" s="618">
        <f>Bul_3rd!I17</f>
        <v>3540000</v>
      </c>
      <c r="J33" s="617">
        <f>Bul_3rd!J17</f>
        <v>2100</v>
      </c>
      <c r="K33" s="17">
        <f>Bul_3rd!K17</f>
        <v>3276000</v>
      </c>
      <c r="L33" s="617">
        <f>Bul_3rd!L17</f>
        <v>0</v>
      </c>
      <c r="M33" s="17">
        <f>Bul_3rd!M17</f>
        <v>0</v>
      </c>
    </row>
    <row r="34" spans="1:13" x14ac:dyDescent="0.25">
      <c r="A34" s="83" t="s">
        <v>112</v>
      </c>
      <c r="B34" s="426">
        <f>Bul_3rd!B18</f>
        <v>2234</v>
      </c>
      <c r="C34" s="100">
        <f>Bul_3rd!C18</f>
        <v>33510000</v>
      </c>
      <c r="D34" s="426">
        <f>Bul_3rd!D18</f>
        <v>2183</v>
      </c>
      <c r="E34" s="100">
        <f>Bul_3rd!E18</f>
        <v>22655400</v>
      </c>
      <c r="F34" s="30">
        <f>Bul_3rd!F18</f>
        <v>370</v>
      </c>
      <c r="G34" s="618">
        <f>Bul_3rd!G18</f>
        <v>3700000</v>
      </c>
      <c r="H34" s="30">
        <f>Bul_3rd!H18</f>
        <v>0</v>
      </c>
      <c r="I34" s="618">
        <f>Bul_3rd!I18</f>
        <v>0</v>
      </c>
      <c r="J34" s="617">
        <f>Bul_3rd!J18</f>
        <v>1700</v>
      </c>
      <c r="K34" s="17">
        <f>Bul_3rd!K18</f>
        <v>2652000</v>
      </c>
      <c r="L34" s="617">
        <f>Bul_3rd!L18</f>
        <v>1900</v>
      </c>
      <c r="M34" s="17">
        <f>Bul_3rd!M18</f>
        <v>2148900</v>
      </c>
    </row>
    <row r="35" spans="1:13" x14ac:dyDescent="0.25">
      <c r="A35" s="349" t="s">
        <v>399</v>
      </c>
      <c r="B35" s="477">
        <f t="shared" ref="B35:M35" si="8">SUM(B36:B39)</f>
        <v>11354</v>
      </c>
      <c r="C35" s="351">
        <f t="shared" si="8"/>
        <v>170310000</v>
      </c>
      <c r="D35" s="477">
        <f t="shared" si="8"/>
        <v>11444</v>
      </c>
      <c r="E35" s="351">
        <f t="shared" si="8"/>
        <v>120926500</v>
      </c>
      <c r="F35" s="477">
        <f t="shared" si="8"/>
        <v>660</v>
      </c>
      <c r="G35" s="351">
        <f t="shared" si="8"/>
        <v>6600000</v>
      </c>
      <c r="H35" s="477">
        <f t="shared" si="8"/>
        <v>233</v>
      </c>
      <c r="I35" s="351">
        <f t="shared" si="8"/>
        <v>1515000</v>
      </c>
      <c r="J35" s="477">
        <f t="shared" si="8"/>
        <v>6866</v>
      </c>
      <c r="K35" s="351">
        <f t="shared" si="8"/>
        <v>10710960</v>
      </c>
      <c r="L35" s="350">
        <f t="shared" si="8"/>
        <v>5206</v>
      </c>
      <c r="M35" s="351">
        <f t="shared" si="8"/>
        <v>4988095</v>
      </c>
    </row>
    <row r="36" spans="1:13" ht="30" x14ac:dyDescent="0.25">
      <c r="A36" s="83" t="s">
        <v>113</v>
      </c>
      <c r="B36" s="426">
        <f>Bul_4th!B13</f>
        <v>2873</v>
      </c>
      <c r="C36" s="100">
        <f>Bul_4th!C13</f>
        <v>43095000</v>
      </c>
      <c r="D36" s="426">
        <f>Bul_4th!D13</f>
        <v>3208</v>
      </c>
      <c r="E36" s="100">
        <f>Bul_4th!E13</f>
        <v>32982500</v>
      </c>
      <c r="F36" s="30">
        <f>Bul_4th!F13</f>
        <v>100</v>
      </c>
      <c r="G36" s="579">
        <f>Bul_4th!G13</f>
        <v>1000000</v>
      </c>
      <c r="H36" s="30">
        <f>Bul_4th!H13</f>
        <v>15</v>
      </c>
      <c r="I36" s="618">
        <f>Bul_4th!I13</f>
        <v>150000</v>
      </c>
      <c r="J36" s="575">
        <f>Bul_4th!J13</f>
        <v>2266</v>
      </c>
      <c r="K36" s="17">
        <f>Bul_4th!K13</f>
        <v>3534960</v>
      </c>
      <c r="L36" s="617">
        <f>Bul_4th!L13</f>
        <v>0</v>
      </c>
      <c r="M36" s="17">
        <f>Bul_4th!M13</f>
        <v>0</v>
      </c>
    </row>
    <row r="37" spans="1:13" x14ac:dyDescent="0.25">
      <c r="A37" s="83" t="s">
        <v>114</v>
      </c>
      <c r="B37" s="426">
        <f>Bul_4th!B14</f>
        <v>2498</v>
      </c>
      <c r="C37" s="100">
        <f>Bul_4th!C14</f>
        <v>37470000</v>
      </c>
      <c r="D37" s="426">
        <f>Bul_4th!D14</f>
        <v>2498</v>
      </c>
      <c r="E37" s="100">
        <f>Bul_4th!E14</f>
        <v>27153200</v>
      </c>
      <c r="F37" s="30">
        <f>Bul_4th!F14</f>
        <v>100</v>
      </c>
      <c r="G37" s="618">
        <f>Bul_4th!G14</f>
        <v>1000000</v>
      </c>
      <c r="H37" s="30">
        <f>Bul_4th!H14</f>
        <v>26</v>
      </c>
      <c r="I37" s="618">
        <f>Bul_4th!I14</f>
        <v>260000</v>
      </c>
      <c r="J37" s="617">
        <f>Bul_4th!J14</f>
        <v>1500</v>
      </c>
      <c r="K37" s="17">
        <f>Bul_4th!K14</f>
        <v>2340000</v>
      </c>
      <c r="L37" s="617">
        <f>Bul_4th!L14</f>
        <v>1700</v>
      </c>
      <c r="M37" s="17">
        <f>Bul_4th!M14</f>
        <v>2672400</v>
      </c>
    </row>
    <row r="38" spans="1:13" x14ac:dyDescent="0.25">
      <c r="A38" s="83" t="s">
        <v>115</v>
      </c>
      <c r="B38" s="426">
        <f>Bul_4th!B15</f>
        <v>617</v>
      </c>
      <c r="C38" s="100">
        <f>Bul_4th!C15</f>
        <v>9255000</v>
      </c>
      <c r="D38" s="426">
        <f>Bul_4th!D15</f>
        <v>760</v>
      </c>
      <c r="E38" s="100">
        <f>Bul_4th!E15</f>
        <v>8024800</v>
      </c>
      <c r="F38" s="30">
        <f>Bul_4th!F15</f>
        <v>0</v>
      </c>
      <c r="G38" s="618">
        <f>Bul_4th!G15</f>
        <v>0</v>
      </c>
      <c r="H38" s="30">
        <f>Bul_4th!H15</f>
        <v>23</v>
      </c>
      <c r="I38" s="618">
        <f>Bul_4th!I15</f>
        <v>115000</v>
      </c>
      <c r="J38" s="617">
        <f>Bul_4th!J15</f>
        <v>600</v>
      </c>
      <c r="K38" s="17">
        <f>Bul_4th!K15</f>
        <v>936000</v>
      </c>
      <c r="L38" s="617">
        <f>Bul_4th!L15</f>
        <v>645</v>
      </c>
      <c r="M38" s="17">
        <f>Bul_4th!M15</f>
        <v>1013940</v>
      </c>
    </row>
    <row r="39" spans="1:13" x14ac:dyDescent="0.25">
      <c r="A39" s="83" t="s">
        <v>116</v>
      </c>
      <c r="B39" s="426">
        <f>Bul_4th!B16</f>
        <v>5366</v>
      </c>
      <c r="C39" s="100">
        <f>Bul_4th!C16</f>
        <v>80490000</v>
      </c>
      <c r="D39" s="426">
        <f>Bul_4th!D16</f>
        <v>4978</v>
      </c>
      <c r="E39" s="100">
        <f>Bul_4th!E16</f>
        <v>52766000</v>
      </c>
      <c r="F39" s="30">
        <f>Bul_4th!F16</f>
        <v>460</v>
      </c>
      <c r="G39" s="618">
        <f>Bul_4th!G16</f>
        <v>4600000</v>
      </c>
      <c r="H39" s="30">
        <f>Bul_4th!H16</f>
        <v>169</v>
      </c>
      <c r="I39" s="618">
        <f>Bul_4th!I16</f>
        <v>990000</v>
      </c>
      <c r="J39" s="617">
        <f>Bul_4th!J16</f>
        <v>2500</v>
      </c>
      <c r="K39" s="17">
        <f>Bul_4th!K16</f>
        <v>3900000</v>
      </c>
      <c r="L39" s="617">
        <f>Bul_4th!L16</f>
        <v>2861</v>
      </c>
      <c r="M39" s="17">
        <f>Bul_4th!M16</f>
        <v>1301755</v>
      </c>
    </row>
    <row r="40" spans="1:13" x14ac:dyDescent="0.25">
      <c r="A40" s="349" t="s">
        <v>400</v>
      </c>
      <c r="B40" s="477">
        <f t="shared" ref="B40:M40" si="9">SUM(B41:B41)</f>
        <v>14662</v>
      </c>
      <c r="C40" s="351">
        <f t="shared" si="9"/>
        <v>219930000</v>
      </c>
      <c r="D40" s="477">
        <f t="shared" si="9"/>
        <v>14314</v>
      </c>
      <c r="E40" s="351">
        <f t="shared" si="9"/>
        <v>154221100</v>
      </c>
      <c r="F40" s="477">
        <f t="shared" si="9"/>
        <v>1218</v>
      </c>
      <c r="G40" s="351">
        <f t="shared" si="9"/>
        <v>12180000</v>
      </c>
      <c r="H40" s="477">
        <f t="shared" si="9"/>
        <v>486</v>
      </c>
      <c r="I40" s="351">
        <f t="shared" si="9"/>
        <v>2465000</v>
      </c>
      <c r="J40" s="477">
        <f t="shared" si="9"/>
        <v>5100</v>
      </c>
      <c r="K40" s="351">
        <f t="shared" si="9"/>
        <v>7956000</v>
      </c>
      <c r="L40" s="350">
        <f t="shared" si="9"/>
        <v>4501</v>
      </c>
      <c r="M40" s="351">
        <f t="shared" si="9"/>
        <v>4329962</v>
      </c>
    </row>
    <row r="41" spans="1:13" ht="45" x14ac:dyDescent="0.25">
      <c r="A41" s="83" t="s">
        <v>344</v>
      </c>
      <c r="B41" s="426">
        <f>Bul_Lone!B13</f>
        <v>14662</v>
      </c>
      <c r="C41" s="100">
        <f>Bul_Lone!C13</f>
        <v>219930000</v>
      </c>
      <c r="D41" s="426">
        <f>Bul_Lone!D13</f>
        <v>14314</v>
      </c>
      <c r="E41" s="100">
        <f>Bul_Lone!E13</f>
        <v>154221100</v>
      </c>
      <c r="F41" s="30">
        <f>Bul_Lone!F13</f>
        <v>1218</v>
      </c>
      <c r="G41" s="579">
        <f>Bul_Lone!G13</f>
        <v>12180000</v>
      </c>
      <c r="H41" s="30">
        <f>Bul_Lone!H13</f>
        <v>486</v>
      </c>
      <c r="I41" s="618">
        <f>Bul_Lone!I13</f>
        <v>2465000</v>
      </c>
      <c r="J41" s="575">
        <f>Bul_Lone!J13</f>
        <v>5100</v>
      </c>
      <c r="K41" s="17">
        <f>Bul_Lone!K13</f>
        <v>7956000</v>
      </c>
      <c r="L41" s="617">
        <f>Bul_Lone!L13</f>
        <v>4501</v>
      </c>
      <c r="M41" s="17">
        <f>Bul_Lone!M13</f>
        <v>4329962</v>
      </c>
    </row>
    <row r="43" spans="1:13" s="507" customFormat="1" ht="20.25" customHeight="1" x14ac:dyDescent="0.25">
      <c r="A43" s="983" t="s">
        <v>377</v>
      </c>
      <c r="B43" s="896" t="s">
        <v>16</v>
      </c>
      <c r="C43" s="897"/>
      <c r="D43" s="897"/>
      <c r="E43" s="898"/>
      <c r="F43" s="913" t="s">
        <v>421</v>
      </c>
      <c r="G43" s="914"/>
      <c r="H43" s="914"/>
      <c r="I43" s="915"/>
      <c r="J43" s="896" t="s">
        <v>329</v>
      </c>
      <c r="K43" s="897"/>
      <c r="L43" s="897"/>
      <c r="M43" s="898"/>
    </row>
    <row r="44" spans="1:13" ht="18.75" customHeight="1" x14ac:dyDescent="0.25">
      <c r="A44" s="984"/>
      <c r="B44" s="986" t="s">
        <v>327</v>
      </c>
      <c r="C44" s="901"/>
      <c r="D44" s="986" t="s">
        <v>333</v>
      </c>
      <c r="E44" s="901"/>
      <c r="F44" s="986" t="s">
        <v>327</v>
      </c>
      <c r="G44" s="901"/>
      <c r="H44" s="986" t="s">
        <v>333</v>
      </c>
      <c r="I44" s="901"/>
      <c r="J44" s="986" t="s">
        <v>327</v>
      </c>
      <c r="K44" s="901"/>
      <c r="L44" s="986" t="s">
        <v>333</v>
      </c>
      <c r="M44" s="901"/>
    </row>
    <row r="45" spans="1:13" ht="45" customHeight="1" x14ac:dyDescent="0.25">
      <c r="A45" s="985"/>
      <c r="B45" s="575" t="s">
        <v>330</v>
      </c>
      <c r="C45" s="476" t="s">
        <v>60</v>
      </c>
      <c r="D45" s="575" t="s">
        <v>330</v>
      </c>
      <c r="E45" s="17" t="s">
        <v>305</v>
      </c>
      <c r="F45" s="575" t="s">
        <v>253</v>
      </c>
      <c r="G45" s="574" t="s">
        <v>60</v>
      </c>
      <c r="H45" s="575" t="s">
        <v>253</v>
      </c>
      <c r="I45" s="17" t="s">
        <v>305</v>
      </c>
      <c r="J45" s="575" t="s">
        <v>310</v>
      </c>
      <c r="K45" s="476" t="s">
        <v>60</v>
      </c>
      <c r="L45" s="575" t="s">
        <v>310</v>
      </c>
      <c r="M45" s="17" t="s">
        <v>305</v>
      </c>
    </row>
    <row r="46" spans="1:13" s="605" customFormat="1" ht="15.75" x14ac:dyDescent="0.25">
      <c r="A46" s="601" t="s">
        <v>14</v>
      </c>
      <c r="B46" s="602">
        <f>B47+B54+B62+B69+B74</f>
        <v>8867</v>
      </c>
      <c r="C46" s="603">
        <f>C47+C54+C62+C69+C74</f>
        <v>53202000</v>
      </c>
      <c r="D46" s="602">
        <f t="shared" ref="D46" si="10">D47+D54+D62+D69+D74</f>
        <v>11551</v>
      </c>
      <c r="E46" s="604">
        <f t="shared" ref="E46" si="11">E47+E54+E62+E69+E74</f>
        <v>69306000</v>
      </c>
      <c r="F46" s="602">
        <f>F47+F54+F62+F69+F74</f>
        <v>34</v>
      </c>
      <c r="G46" s="603">
        <f>G47+G54+G62+G69+G74</f>
        <v>57268685.700000003</v>
      </c>
      <c r="H46" s="602">
        <f t="shared" ref="H46" si="12">H47+H54+H62+H69+H74</f>
        <v>0</v>
      </c>
      <c r="I46" s="604">
        <f t="shared" ref="I46" si="13">I47+I54+I62+I69+I74</f>
        <v>0</v>
      </c>
      <c r="J46" s="602">
        <f>J47+J54+J62+J69+J74</f>
        <v>0</v>
      </c>
      <c r="K46" s="603">
        <f>K47+K54+K62+K69+K74</f>
        <v>0</v>
      </c>
      <c r="L46" s="662">
        <f>L47+L54+L62+L69+L74+L76</f>
        <v>14661</v>
      </c>
      <c r="M46" s="604">
        <f>M47+M54+M62+M69+M74+M76</f>
        <v>43817700</v>
      </c>
    </row>
    <row r="47" spans="1:13" ht="15" customHeight="1" x14ac:dyDescent="0.25">
      <c r="A47" s="349" t="s">
        <v>278</v>
      </c>
      <c r="B47" s="477">
        <f t="shared" ref="B47:M47" si="14">SUM(B48:B53)</f>
        <v>2178</v>
      </c>
      <c r="C47" s="351">
        <f t="shared" si="14"/>
        <v>13068000</v>
      </c>
      <c r="D47" s="477">
        <f t="shared" si="14"/>
        <v>3301</v>
      </c>
      <c r="E47" s="351">
        <f t="shared" si="14"/>
        <v>19806000</v>
      </c>
      <c r="F47" s="477">
        <f t="shared" si="14"/>
        <v>12</v>
      </c>
      <c r="G47" s="351">
        <f t="shared" si="14"/>
        <v>19434285.699999999</v>
      </c>
      <c r="H47" s="477">
        <f t="shared" si="14"/>
        <v>0</v>
      </c>
      <c r="I47" s="351">
        <f t="shared" si="14"/>
        <v>0</v>
      </c>
      <c r="J47" s="477">
        <f t="shared" si="14"/>
        <v>0</v>
      </c>
      <c r="K47" s="351">
        <f t="shared" si="14"/>
        <v>0</v>
      </c>
      <c r="L47" s="350">
        <f t="shared" si="14"/>
        <v>2973</v>
      </c>
      <c r="M47" s="351">
        <f t="shared" si="14"/>
        <v>9862200</v>
      </c>
    </row>
    <row r="48" spans="1:13" ht="15" customHeight="1" x14ac:dyDescent="0.25">
      <c r="A48" s="83" t="s">
        <v>91</v>
      </c>
      <c r="B48" s="30">
        <f>'Bul_1st '!B24</f>
        <v>381</v>
      </c>
      <c r="C48" s="17">
        <f>'Bul_1st '!C24</f>
        <v>2286000</v>
      </c>
      <c r="D48" s="30">
        <f>'Bul_1st '!D24</f>
        <v>702</v>
      </c>
      <c r="E48" s="17">
        <f>'Bul_1st '!E24</f>
        <v>4212000</v>
      </c>
      <c r="F48" s="255">
        <f>'Bul_1st '!F24</f>
        <v>2</v>
      </c>
      <c r="G48" s="256">
        <f>'Bul_1st '!G24</f>
        <v>2600000</v>
      </c>
      <c r="H48" s="255">
        <f>'Bul_1st '!H24</f>
        <v>0</v>
      </c>
      <c r="I48" s="256">
        <f>'Bul_1st '!I24</f>
        <v>0</v>
      </c>
      <c r="J48" s="478"/>
      <c r="K48" s="386"/>
      <c r="L48" s="345">
        <f>'Bul_1st '!L24</f>
        <v>336</v>
      </c>
      <c r="M48" s="344">
        <f>'Bul_1st '!M24</f>
        <v>1196500</v>
      </c>
    </row>
    <row r="49" spans="1:13" ht="15" customHeight="1" x14ac:dyDescent="0.25">
      <c r="A49" s="83" t="s">
        <v>92</v>
      </c>
      <c r="B49" s="30">
        <f>'Bul_1st '!B25</f>
        <v>333</v>
      </c>
      <c r="C49" s="17">
        <f>'Bul_1st '!C25</f>
        <v>1998000</v>
      </c>
      <c r="D49" s="30">
        <f>'Bul_1st '!D25</f>
        <v>314</v>
      </c>
      <c r="E49" s="17">
        <f>'Bul_1st '!E25</f>
        <v>1884000</v>
      </c>
      <c r="F49" s="255">
        <f>'Bul_1st '!F25</f>
        <v>2</v>
      </c>
      <c r="G49" s="256">
        <f>'Bul_1st '!G25</f>
        <v>7000000</v>
      </c>
      <c r="H49" s="255">
        <f>'Bul_1st '!H25</f>
        <v>0</v>
      </c>
      <c r="I49" s="256">
        <f>'Bul_1st '!I25</f>
        <v>0</v>
      </c>
      <c r="J49" s="478"/>
      <c r="K49" s="386"/>
      <c r="L49" s="345">
        <f>'Bul_1st '!L25</f>
        <v>399</v>
      </c>
      <c r="M49" s="344">
        <f>'Bul_1st '!M25</f>
        <v>1456700</v>
      </c>
    </row>
    <row r="50" spans="1:13" ht="15" customHeight="1" x14ac:dyDescent="0.25">
      <c r="A50" s="83" t="s">
        <v>93</v>
      </c>
      <c r="B50" s="30">
        <f>'Bul_1st '!B26</f>
        <v>389</v>
      </c>
      <c r="C50" s="17">
        <f>'Bul_1st '!C26</f>
        <v>2334000</v>
      </c>
      <c r="D50" s="30">
        <f>'Bul_1st '!D26</f>
        <v>340</v>
      </c>
      <c r="E50" s="17">
        <f>'Bul_1st '!E26</f>
        <v>2040000</v>
      </c>
      <c r="F50" s="255">
        <f>'Bul_1st '!F26</f>
        <v>3</v>
      </c>
      <c r="G50" s="256">
        <f>'Bul_1st '!G26</f>
        <v>3964285.7</v>
      </c>
      <c r="H50" s="255">
        <f>'Bul_1st '!H26</f>
        <v>0</v>
      </c>
      <c r="I50" s="256">
        <f>'Bul_1st '!I26</f>
        <v>0</v>
      </c>
      <c r="J50" s="478"/>
      <c r="K50" s="386"/>
      <c r="L50" s="345">
        <f>'Bul_1st '!L26</f>
        <v>637</v>
      </c>
      <c r="M50" s="344">
        <f>'Bul_1st '!M26</f>
        <v>2458700</v>
      </c>
    </row>
    <row r="51" spans="1:13" x14ac:dyDescent="0.25">
      <c r="A51" s="83" t="s">
        <v>94</v>
      </c>
      <c r="B51" s="30">
        <f>'Bul_1st '!B27</f>
        <v>404</v>
      </c>
      <c r="C51" s="17">
        <f>'Bul_1st '!C27</f>
        <v>2424000</v>
      </c>
      <c r="D51" s="30">
        <f>'Bul_1st '!D27</f>
        <v>801</v>
      </c>
      <c r="E51" s="17">
        <f>'Bul_1st '!E27</f>
        <v>4806000</v>
      </c>
      <c r="F51" s="255">
        <f>'Bul_1st '!F27</f>
        <v>1</v>
      </c>
      <c r="G51" s="256">
        <f>'Bul_1st '!G27</f>
        <v>1520000</v>
      </c>
      <c r="H51" s="255">
        <f>'Bul_1st '!H27</f>
        <v>0</v>
      </c>
      <c r="I51" s="256">
        <f>'Bul_1st '!I27</f>
        <v>0</v>
      </c>
      <c r="J51" s="478"/>
      <c r="K51" s="386"/>
      <c r="L51" s="345">
        <f>'Bul_1st '!L27</f>
        <v>1170</v>
      </c>
      <c r="M51" s="344">
        <f>'Bul_1st '!M27</f>
        <v>3152800</v>
      </c>
    </row>
    <row r="52" spans="1:13" x14ac:dyDescent="0.25">
      <c r="A52" s="83" t="s">
        <v>95</v>
      </c>
      <c r="B52" s="30">
        <f>'Bul_1st '!B28</f>
        <v>330</v>
      </c>
      <c r="C52" s="17">
        <f>'Bul_1st '!C28</f>
        <v>1980000</v>
      </c>
      <c r="D52" s="30">
        <f>'Bul_1st '!D28</f>
        <v>626</v>
      </c>
      <c r="E52" s="17">
        <f>'Bul_1st '!E28</f>
        <v>3756000</v>
      </c>
      <c r="F52" s="255">
        <f>'Bul_1st '!F28</f>
        <v>2</v>
      </c>
      <c r="G52" s="256">
        <f>'Bul_1st '!G28</f>
        <v>2250000</v>
      </c>
      <c r="H52" s="255">
        <f>'Bul_1st '!H28</f>
        <v>0</v>
      </c>
      <c r="I52" s="256">
        <f>'Bul_1st '!I28</f>
        <v>0</v>
      </c>
      <c r="J52" s="478"/>
      <c r="K52" s="386"/>
      <c r="L52" s="345">
        <f>'Bul_1st '!L28</f>
        <v>289</v>
      </c>
      <c r="M52" s="344">
        <f>'Bul_1st '!M28</f>
        <v>964500</v>
      </c>
    </row>
    <row r="53" spans="1:13" x14ac:dyDescent="0.25">
      <c r="A53" s="83" t="s">
        <v>96</v>
      </c>
      <c r="B53" s="30">
        <f>'Bul_1st '!B29</f>
        <v>341</v>
      </c>
      <c r="C53" s="17">
        <f>'Bul_1st '!C29</f>
        <v>2046000</v>
      </c>
      <c r="D53" s="30">
        <f>'Bul_1st '!D29</f>
        <v>518</v>
      </c>
      <c r="E53" s="17">
        <f>'Bul_1st '!E29</f>
        <v>3108000</v>
      </c>
      <c r="F53" s="255">
        <f>'Bul_1st '!F29</f>
        <v>2</v>
      </c>
      <c r="G53" s="256">
        <f>'Bul_1st '!G29</f>
        <v>2100000</v>
      </c>
      <c r="H53" s="255">
        <f>'Bul_1st '!H29</f>
        <v>0</v>
      </c>
      <c r="I53" s="256">
        <f>'Bul_1st '!I29</f>
        <v>0</v>
      </c>
      <c r="J53" s="478"/>
      <c r="K53" s="386"/>
      <c r="L53" s="345">
        <f>'Bul_1st '!L29</f>
        <v>142</v>
      </c>
      <c r="M53" s="344">
        <f>'Bul_1st '!M29</f>
        <v>633000</v>
      </c>
    </row>
    <row r="54" spans="1:13" x14ac:dyDescent="0.25">
      <c r="A54" s="349" t="s">
        <v>397</v>
      </c>
      <c r="B54" s="477">
        <f t="shared" ref="B54:E54" si="15">SUM(B55:B61)</f>
        <v>2446</v>
      </c>
      <c r="C54" s="351">
        <f t="shared" si="15"/>
        <v>14676000</v>
      </c>
      <c r="D54" s="477">
        <f t="shared" si="15"/>
        <v>2943</v>
      </c>
      <c r="E54" s="351">
        <f t="shared" si="15"/>
        <v>17658000</v>
      </c>
      <c r="F54" s="477">
        <f t="shared" ref="F54:M54" si="16">SUM(F55:F61)</f>
        <v>2</v>
      </c>
      <c r="G54" s="351">
        <f t="shared" si="16"/>
        <v>4000000</v>
      </c>
      <c r="H54" s="477">
        <f t="shared" si="16"/>
        <v>0</v>
      </c>
      <c r="I54" s="351">
        <f t="shared" si="16"/>
        <v>0</v>
      </c>
      <c r="J54" s="477">
        <f t="shared" si="16"/>
        <v>0</v>
      </c>
      <c r="K54" s="351">
        <f t="shared" si="16"/>
        <v>0</v>
      </c>
      <c r="L54" s="350">
        <f t="shared" si="16"/>
        <v>3917</v>
      </c>
      <c r="M54" s="351">
        <f t="shared" si="16"/>
        <v>11357500</v>
      </c>
    </row>
    <row r="55" spans="1:13" x14ac:dyDescent="0.25">
      <c r="A55" s="83" t="s">
        <v>100</v>
      </c>
      <c r="B55" s="30">
        <f>Bul_2nd!B25</f>
        <v>316</v>
      </c>
      <c r="C55" s="17">
        <f>Bul_2nd!C25</f>
        <v>1896000</v>
      </c>
      <c r="D55" s="30">
        <f>Bul_2nd!D25</f>
        <v>446</v>
      </c>
      <c r="E55" s="17">
        <f>Bul_2nd!E25</f>
        <v>2676000</v>
      </c>
      <c r="F55" s="575"/>
      <c r="G55" s="17"/>
      <c r="H55" s="575"/>
      <c r="I55" s="17"/>
      <c r="J55" s="478"/>
      <c r="K55" s="386"/>
      <c r="L55" s="345">
        <f>Bul_2nd!L25</f>
        <v>261</v>
      </c>
      <c r="M55" s="344">
        <f>Bul_2nd!M25</f>
        <v>764500</v>
      </c>
    </row>
    <row r="56" spans="1:13" x14ac:dyDescent="0.25">
      <c r="A56" s="83" t="s">
        <v>101</v>
      </c>
      <c r="B56" s="30">
        <f>Bul_2nd!B26</f>
        <v>388</v>
      </c>
      <c r="C56" s="17">
        <f>Bul_2nd!C26</f>
        <v>2328000</v>
      </c>
      <c r="D56" s="30">
        <f>Bul_2nd!D26</f>
        <v>506</v>
      </c>
      <c r="E56" s="17">
        <f>Bul_2nd!E26</f>
        <v>3036000</v>
      </c>
      <c r="F56" s="575"/>
      <c r="G56" s="17"/>
      <c r="H56" s="575"/>
      <c r="I56" s="17"/>
      <c r="J56" s="478"/>
      <c r="K56" s="386"/>
      <c r="L56" s="345">
        <f>Bul_2nd!L26</f>
        <v>1091</v>
      </c>
      <c r="M56" s="344">
        <f>Bul_2nd!M26</f>
        <v>3817000</v>
      </c>
    </row>
    <row r="57" spans="1:13" x14ac:dyDescent="0.25">
      <c r="A57" s="83" t="s">
        <v>102</v>
      </c>
      <c r="B57" s="30">
        <f>Bul_2nd!B27</f>
        <v>348</v>
      </c>
      <c r="C57" s="17">
        <f>Bul_2nd!C27</f>
        <v>2088000</v>
      </c>
      <c r="D57" s="30">
        <f>Bul_2nd!D27</f>
        <v>245</v>
      </c>
      <c r="E57" s="17">
        <f>Bul_2nd!E27</f>
        <v>1470000</v>
      </c>
      <c r="F57" s="575">
        <f>Bul_2nd!F27</f>
        <v>2</v>
      </c>
      <c r="G57" s="17">
        <f>Bul_2nd!G27</f>
        <v>4000000</v>
      </c>
      <c r="H57" s="652">
        <f>Bul_2nd!H27</f>
        <v>0</v>
      </c>
      <c r="I57" s="17">
        <f>Bul_2nd!I27</f>
        <v>0</v>
      </c>
      <c r="J57" s="478"/>
      <c r="K57" s="386"/>
      <c r="L57" s="345">
        <f>Bul_2nd!L27</f>
        <v>1258</v>
      </c>
      <c r="M57" s="344">
        <f>Bul_2nd!M27</f>
        <v>2464500</v>
      </c>
    </row>
    <row r="58" spans="1:13" x14ac:dyDescent="0.25">
      <c r="A58" s="83" t="s">
        <v>103</v>
      </c>
      <c r="B58" s="30">
        <f>Bul_2nd!B28</f>
        <v>351</v>
      </c>
      <c r="C58" s="17">
        <f>Bul_2nd!C28</f>
        <v>2106000</v>
      </c>
      <c r="D58" s="30">
        <f>Bul_2nd!D28</f>
        <v>382</v>
      </c>
      <c r="E58" s="17">
        <f>Bul_2nd!E28</f>
        <v>2292000</v>
      </c>
      <c r="F58" s="575"/>
      <c r="G58" s="17"/>
      <c r="H58" s="575"/>
      <c r="I58" s="17"/>
      <c r="J58" s="478"/>
      <c r="K58" s="386"/>
      <c r="L58" s="345">
        <f>Bul_2nd!L28</f>
        <v>199</v>
      </c>
      <c r="M58" s="344">
        <f>Bul_2nd!M28</f>
        <v>711500</v>
      </c>
    </row>
    <row r="59" spans="1:13" x14ac:dyDescent="0.25">
      <c r="A59" s="83" t="s">
        <v>104</v>
      </c>
      <c r="B59" s="30">
        <f>Bul_2nd!B29</f>
        <v>345</v>
      </c>
      <c r="C59" s="17">
        <f>Bul_2nd!C29</f>
        <v>2070000</v>
      </c>
      <c r="D59" s="30">
        <f>Bul_2nd!D29</f>
        <v>383</v>
      </c>
      <c r="E59" s="17">
        <f>Bul_2nd!E29</f>
        <v>2298000</v>
      </c>
      <c r="F59" s="575"/>
      <c r="G59" s="17"/>
      <c r="H59" s="575"/>
      <c r="I59" s="17"/>
      <c r="J59" s="478"/>
      <c r="K59" s="386"/>
      <c r="L59" s="345">
        <f>Bul_2nd!L29</f>
        <v>543</v>
      </c>
      <c r="M59" s="344">
        <f>Bul_2nd!M29</f>
        <v>1717000</v>
      </c>
    </row>
    <row r="60" spans="1:13" x14ac:dyDescent="0.25">
      <c r="A60" s="83" t="s">
        <v>105</v>
      </c>
      <c r="B60" s="30">
        <f>Bul_2nd!B30</f>
        <v>329</v>
      </c>
      <c r="C60" s="17">
        <f>Bul_2nd!C30</f>
        <v>1974000</v>
      </c>
      <c r="D60" s="30">
        <f>Bul_2nd!D30</f>
        <v>425</v>
      </c>
      <c r="E60" s="17">
        <f>Bul_2nd!E30</f>
        <v>2550000</v>
      </c>
      <c r="F60" s="575"/>
      <c r="G60" s="17"/>
      <c r="H60" s="575"/>
      <c r="I60" s="17"/>
      <c r="J60" s="478"/>
      <c r="K60" s="386"/>
      <c r="L60" s="345">
        <f>Bul_2nd!L30</f>
        <v>224</v>
      </c>
      <c r="M60" s="344">
        <f>Bul_2nd!M30</f>
        <v>726000</v>
      </c>
    </row>
    <row r="61" spans="1:13" x14ac:dyDescent="0.25">
      <c r="A61" s="83" t="s">
        <v>106</v>
      </c>
      <c r="B61" s="30">
        <f>Bul_2nd!B31</f>
        <v>369</v>
      </c>
      <c r="C61" s="17">
        <f>Bul_2nd!C31</f>
        <v>2214000</v>
      </c>
      <c r="D61" s="30">
        <f>Bul_2nd!D31</f>
        <v>556</v>
      </c>
      <c r="E61" s="17">
        <f>Bul_2nd!E31</f>
        <v>3336000</v>
      </c>
      <c r="F61" s="575"/>
      <c r="G61" s="17"/>
      <c r="H61" s="575"/>
      <c r="I61" s="17"/>
      <c r="J61" s="478"/>
      <c r="K61" s="386"/>
      <c r="L61" s="345">
        <f>Bul_2nd!L31</f>
        <v>341</v>
      </c>
      <c r="M61" s="344">
        <f>Bul_2nd!M31</f>
        <v>1157000</v>
      </c>
    </row>
    <row r="62" spans="1:13" x14ac:dyDescent="0.25">
      <c r="A62" s="349" t="s">
        <v>406</v>
      </c>
      <c r="B62" s="477">
        <f t="shared" ref="B62:M62" si="17">SUM(B63:B68)</f>
        <v>2258</v>
      </c>
      <c r="C62" s="351">
        <f t="shared" si="17"/>
        <v>13548000</v>
      </c>
      <c r="D62" s="477">
        <f t="shared" si="17"/>
        <v>3240</v>
      </c>
      <c r="E62" s="351">
        <f t="shared" si="17"/>
        <v>19440000</v>
      </c>
      <c r="F62" s="477">
        <f t="shared" si="17"/>
        <v>8</v>
      </c>
      <c r="G62" s="351">
        <f t="shared" si="17"/>
        <v>12725000</v>
      </c>
      <c r="H62" s="477">
        <f t="shared" si="17"/>
        <v>0</v>
      </c>
      <c r="I62" s="351">
        <f t="shared" si="17"/>
        <v>0</v>
      </c>
      <c r="J62" s="477">
        <f t="shared" si="17"/>
        <v>0</v>
      </c>
      <c r="K62" s="351">
        <f t="shared" si="17"/>
        <v>0</v>
      </c>
      <c r="L62" s="350">
        <f t="shared" si="17"/>
        <v>3674</v>
      </c>
      <c r="M62" s="351">
        <f t="shared" si="17"/>
        <v>8842500</v>
      </c>
    </row>
    <row r="63" spans="1:13" x14ac:dyDescent="0.25">
      <c r="A63" s="83" t="s">
        <v>107</v>
      </c>
      <c r="B63" s="30">
        <f>Bul_3rd!B24</f>
        <v>338</v>
      </c>
      <c r="C63" s="17">
        <f>Bul_3rd!C24</f>
        <v>2028000</v>
      </c>
      <c r="D63" s="30">
        <f>Bul_3rd!D24</f>
        <v>488</v>
      </c>
      <c r="E63" s="17">
        <f>Bul_3rd!E24</f>
        <v>2928000</v>
      </c>
      <c r="F63" s="575">
        <f>Bul_3rd!F24</f>
        <v>3</v>
      </c>
      <c r="G63" s="17">
        <f>Bul_3rd!G24</f>
        <v>3500000</v>
      </c>
      <c r="H63" s="617">
        <f>Bul_3rd!H24</f>
        <v>0</v>
      </c>
      <c r="I63" s="17">
        <f>Bul_3rd!I24</f>
        <v>0</v>
      </c>
      <c r="J63" s="478"/>
      <c r="K63" s="386"/>
      <c r="L63" s="345">
        <f>Bul_3rd!L24</f>
        <v>369</v>
      </c>
      <c r="M63" s="344">
        <f>Bul_3rd!M24</f>
        <v>1305000</v>
      </c>
    </row>
    <row r="64" spans="1:13" x14ac:dyDescent="0.25">
      <c r="A64" s="83" t="s">
        <v>108</v>
      </c>
      <c r="B64" s="30">
        <f>Bul_3rd!B25</f>
        <v>329</v>
      </c>
      <c r="C64" s="17">
        <f>Bul_3rd!C25</f>
        <v>1974000</v>
      </c>
      <c r="D64" s="30">
        <f>Bul_3rd!D25</f>
        <v>397</v>
      </c>
      <c r="E64" s="17">
        <f>Bul_3rd!E25</f>
        <v>2382000</v>
      </c>
      <c r="F64" s="617">
        <f>Bul_3rd!F25</f>
        <v>0</v>
      </c>
      <c r="G64" s="17">
        <f>Bul_3rd!G25</f>
        <v>0</v>
      </c>
      <c r="H64" s="617">
        <f>Bul_3rd!H25</f>
        <v>0</v>
      </c>
      <c r="I64" s="17">
        <f>Bul_3rd!I25</f>
        <v>0</v>
      </c>
      <c r="J64" s="478"/>
      <c r="K64" s="386"/>
      <c r="L64" s="345">
        <f>Bul_3rd!L25</f>
        <v>116</v>
      </c>
      <c r="M64" s="344">
        <f>Bul_3rd!M25</f>
        <v>397000</v>
      </c>
    </row>
    <row r="65" spans="1:13" x14ac:dyDescent="0.25">
      <c r="A65" s="83" t="s">
        <v>109</v>
      </c>
      <c r="B65" s="30">
        <f>Bul_3rd!B26</f>
        <v>328</v>
      </c>
      <c r="C65" s="17">
        <f>Bul_3rd!C26</f>
        <v>1968000</v>
      </c>
      <c r="D65" s="30">
        <f>Bul_3rd!D26</f>
        <v>392</v>
      </c>
      <c r="E65" s="17">
        <f>Bul_3rd!E26</f>
        <v>2352000</v>
      </c>
      <c r="F65" s="617">
        <f>Bul_3rd!F26</f>
        <v>1</v>
      </c>
      <c r="G65" s="17">
        <f>Bul_3rd!G26</f>
        <v>2500000</v>
      </c>
      <c r="H65" s="617">
        <f>Bul_3rd!H26</f>
        <v>0</v>
      </c>
      <c r="I65" s="17">
        <f>Bul_3rd!I26</f>
        <v>0</v>
      </c>
      <c r="J65" s="478"/>
      <c r="K65" s="386"/>
      <c r="L65" s="345">
        <f>Bul_3rd!L26</f>
        <v>1517</v>
      </c>
      <c r="M65" s="344">
        <f>Bul_3rd!M26</f>
        <v>1263000</v>
      </c>
    </row>
    <row r="66" spans="1:13" x14ac:dyDescent="0.25">
      <c r="A66" s="83" t="s">
        <v>110</v>
      </c>
      <c r="B66" s="30">
        <f>Bul_3rd!B27</f>
        <v>359</v>
      </c>
      <c r="C66" s="17">
        <f>Bul_3rd!C27</f>
        <v>2154000</v>
      </c>
      <c r="D66" s="30">
        <f>Bul_3rd!D27</f>
        <v>678</v>
      </c>
      <c r="E66" s="17">
        <f>Bul_3rd!E27</f>
        <v>4068000</v>
      </c>
      <c r="F66" s="617">
        <f>Bul_3rd!F27</f>
        <v>1</v>
      </c>
      <c r="G66" s="17">
        <f>Bul_3rd!G27</f>
        <v>2000000</v>
      </c>
      <c r="H66" s="617">
        <f>Bul_3rd!H27</f>
        <v>0</v>
      </c>
      <c r="I66" s="17">
        <f>Bul_3rd!I27</f>
        <v>0</v>
      </c>
      <c r="J66" s="478"/>
      <c r="K66" s="386"/>
      <c r="L66" s="345">
        <f>Bul_3rd!L27</f>
        <v>467</v>
      </c>
      <c r="M66" s="344">
        <f>Bul_3rd!M27</f>
        <v>1672000</v>
      </c>
    </row>
    <row r="67" spans="1:13" x14ac:dyDescent="0.25">
      <c r="A67" s="83" t="s">
        <v>111</v>
      </c>
      <c r="B67" s="30">
        <f>Bul_3rd!B28</f>
        <v>513</v>
      </c>
      <c r="C67" s="17">
        <f>Bul_3rd!C28</f>
        <v>3078000</v>
      </c>
      <c r="D67" s="30">
        <f>Bul_3rd!D28</f>
        <v>707</v>
      </c>
      <c r="E67" s="17">
        <f>Bul_3rd!E28</f>
        <v>4242000</v>
      </c>
      <c r="F67" s="617">
        <f>Bul_3rd!F28</f>
        <v>1</v>
      </c>
      <c r="G67" s="17">
        <f>Bul_3rd!G28</f>
        <v>2100000</v>
      </c>
      <c r="H67" s="617">
        <f>Bul_3rd!H28</f>
        <v>0</v>
      </c>
      <c r="I67" s="17">
        <f>Bul_3rd!I28</f>
        <v>0</v>
      </c>
      <c r="J67" s="478"/>
      <c r="K67" s="386"/>
      <c r="L67" s="345">
        <f>Bul_3rd!L28</f>
        <v>599</v>
      </c>
      <c r="M67" s="344">
        <f>Bul_3rd!M28</f>
        <v>2049500</v>
      </c>
    </row>
    <row r="68" spans="1:13" x14ac:dyDescent="0.25">
      <c r="A68" s="83" t="s">
        <v>112</v>
      </c>
      <c r="B68" s="30">
        <f>Bul_3rd!B29</f>
        <v>391</v>
      </c>
      <c r="C68" s="17">
        <f>Bul_3rd!C29</f>
        <v>2346000</v>
      </c>
      <c r="D68" s="30">
        <f>Bul_3rd!D29</f>
        <v>578</v>
      </c>
      <c r="E68" s="17">
        <f>Bul_3rd!E29</f>
        <v>3468000</v>
      </c>
      <c r="F68" s="617">
        <f>Bul_3rd!F29</f>
        <v>2</v>
      </c>
      <c r="G68" s="17">
        <f>Bul_3rd!G29</f>
        <v>2625000</v>
      </c>
      <c r="H68" s="617">
        <f>Bul_3rd!H29</f>
        <v>0</v>
      </c>
      <c r="I68" s="17">
        <f>Bul_3rd!I29</f>
        <v>0</v>
      </c>
      <c r="J68" s="478"/>
      <c r="K68" s="386"/>
      <c r="L68" s="345">
        <f>Bul_3rd!L29</f>
        <v>606</v>
      </c>
      <c r="M68" s="344">
        <f>Bul_3rd!M29</f>
        <v>2156000</v>
      </c>
    </row>
    <row r="69" spans="1:13" x14ac:dyDescent="0.25">
      <c r="A69" s="349" t="s">
        <v>399</v>
      </c>
      <c r="B69" s="477">
        <f t="shared" ref="B69:M69" si="18">SUM(B70:B73)</f>
        <v>1418</v>
      </c>
      <c r="C69" s="351">
        <f t="shared" si="18"/>
        <v>8508000</v>
      </c>
      <c r="D69" s="477">
        <f t="shared" si="18"/>
        <v>1551</v>
      </c>
      <c r="E69" s="351">
        <f t="shared" si="18"/>
        <v>9306000</v>
      </c>
      <c r="F69" s="477">
        <f t="shared" si="18"/>
        <v>12</v>
      </c>
      <c r="G69" s="351">
        <f t="shared" si="18"/>
        <v>21109400</v>
      </c>
      <c r="H69" s="477">
        <f t="shared" si="18"/>
        <v>0</v>
      </c>
      <c r="I69" s="351">
        <f t="shared" si="18"/>
        <v>0</v>
      </c>
      <c r="J69" s="477">
        <f t="shared" si="18"/>
        <v>0</v>
      </c>
      <c r="K69" s="351">
        <f t="shared" si="18"/>
        <v>0</v>
      </c>
      <c r="L69" s="350">
        <f t="shared" si="18"/>
        <v>2965</v>
      </c>
      <c r="M69" s="351">
        <f t="shared" si="18"/>
        <v>10330500</v>
      </c>
    </row>
    <row r="70" spans="1:13" ht="30" x14ac:dyDescent="0.25">
      <c r="A70" s="83" t="s">
        <v>113</v>
      </c>
      <c r="B70" s="30">
        <f>Bul_4th!B23</f>
        <v>325</v>
      </c>
      <c r="C70" s="17">
        <f>Bul_4th!C23</f>
        <v>1950000</v>
      </c>
      <c r="D70" s="30">
        <f>Bul_4th!D23</f>
        <v>430</v>
      </c>
      <c r="E70" s="17">
        <f>Bul_4th!E23</f>
        <v>2580000</v>
      </c>
      <c r="F70" s="260">
        <f>Bul_4th!F23</f>
        <v>6</v>
      </c>
      <c r="G70" s="284">
        <f>Bul_4th!G23</f>
        <v>4600400</v>
      </c>
      <c r="H70" s="260">
        <f>Bul_4th!H23</f>
        <v>0</v>
      </c>
      <c r="I70" s="284">
        <f>Bul_4th!I23</f>
        <v>0</v>
      </c>
      <c r="J70" s="575"/>
      <c r="K70" s="17"/>
      <c r="L70" s="345">
        <f>Bul_4th!L23</f>
        <v>729</v>
      </c>
      <c r="M70" s="344">
        <f>Bul_4th!M23</f>
        <v>3071500</v>
      </c>
    </row>
    <row r="71" spans="1:13" x14ac:dyDescent="0.25">
      <c r="A71" s="83" t="s">
        <v>114</v>
      </c>
      <c r="B71" s="30">
        <f>Bul_4th!B24</f>
        <v>329</v>
      </c>
      <c r="C71" s="17">
        <f>Bul_4th!C24</f>
        <v>1974000</v>
      </c>
      <c r="D71" s="30">
        <f>Bul_4th!D24</f>
        <v>539</v>
      </c>
      <c r="E71" s="17">
        <f>Bul_4th!E24</f>
        <v>3234000</v>
      </c>
      <c r="F71" s="260">
        <f>Bul_4th!F24</f>
        <v>2</v>
      </c>
      <c r="G71" s="284">
        <f>Bul_4th!G24</f>
        <v>4009000</v>
      </c>
      <c r="H71" s="260">
        <f>Bul_4th!H24</f>
        <v>0</v>
      </c>
      <c r="I71" s="284">
        <f>Bul_4th!I24</f>
        <v>0</v>
      </c>
      <c r="J71" s="575"/>
      <c r="K71" s="17"/>
      <c r="L71" s="345">
        <f>Bul_4th!L24</f>
        <v>1101</v>
      </c>
      <c r="M71" s="344">
        <f>Bul_4th!M24</f>
        <v>3629500</v>
      </c>
    </row>
    <row r="72" spans="1:13" x14ac:dyDescent="0.25">
      <c r="A72" s="83" t="s">
        <v>115</v>
      </c>
      <c r="B72" s="30">
        <f>Bul_4th!B25</f>
        <v>373</v>
      </c>
      <c r="C72" s="17">
        <f>Bul_4th!C25</f>
        <v>2238000</v>
      </c>
      <c r="D72" s="30">
        <f>Bul_4th!D25</f>
        <v>282</v>
      </c>
      <c r="E72" s="17">
        <f>Bul_4th!E25</f>
        <v>1692000</v>
      </c>
      <c r="F72" s="260">
        <f>Bul_4th!F25</f>
        <v>4</v>
      </c>
      <c r="G72" s="284">
        <f>Bul_4th!G25</f>
        <v>12500000</v>
      </c>
      <c r="H72" s="260">
        <f>Bul_4th!H25</f>
        <v>0</v>
      </c>
      <c r="I72" s="284">
        <f>Bul_4th!I25</f>
        <v>0</v>
      </c>
      <c r="J72" s="575"/>
      <c r="K72" s="17"/>
      <c r="L72" s="345">
        <f>Bul_4th!L25</f>
        <v>217</v>
      </c>
      <c r="M72" s="344">
        <f>Bul_4th!M25</f>
        <v>738000</v>
      </c>
    </row>
    <row r="73" spans="1:13" x14ac:dyDescent="0.25">
      <c r="A73" s="83" t="s">
        <v>116</v>
      </c>
      <c r="B73" s="30">
        <f>Bul_4th!B26</f>
        <v>391</v>
      </c>
      <c r="C73" s="17">
        <f>Bul_4th!C26</f>
        <v>2346000</v>
      </c>
      <c r="D73" s="30">
        <f>Bul_4th!D26</f>
        <v>300</v>
      </c>
      <c r="E73" s="17">
        <f>Bul_4th!E26</f>
        <v>1800000</v>
      </c>
      <c r="F73" s="260">
        <f>Bul_4th!F26</f>
        <v>0</v>
      </c>
      <c r="G73" s="284">
        <f>Bul_4th!G26</f>
        <v>0</v>
      </c>
      <c r="H73" s="260">
        <f>Bul_4th!H26</f>
        <v>0</v>
      </c>
      <c r="I73" s="284">
        <f>Bul_4th!I26</f>
        <v>0</v>
      </c>
      <c r="J73" s="575"/>
      <c r="K73" s="17"/>
      <c r="L73" s="345">
        <f>Bul_4th!L26</f>
        <v>918</v>
      </c>
      <c r="M73" s="344">
        <f>Bul_4th!M26</f>
        <v>2891500</v>
      </c>
    </row>
    <row r="74" spans="1:13" x14ac:dyDescent="0.25">
      <c r="A74" s="349" t="s">
        <v>407</v>
      </c>
      <c r="B74" s="477">
        <f t="shared" ref="B74:M76" si="19">SUM(B75:B75)</f>
        <v>567</v>
      </c>
      <c r="C74" s="351">
        <f t="shared" si="19"/>
        <v>3402000</v>
      </c>
      <c r="D74" s="477">
        <f t="shared" si="19"/>
        <v>516</v>
      </c>
      <c r="E74" s="351">
        <f t="shared" si="19"/>
        <v>3096000</v>
      </c>
      <c r="F74" s="477">
        <f t="shared" si="19"/>
        <v>0</v>
      </c>
      <c r="G74" s="351">
        <f t="shared" si="19"/>
        <v>0</v>
      </c>
      <c r="H74" s="477">
        <f t="shared" si="19"/>
        <v>0</v>
      </c>
      <c r="I74" s="351">
        <f t="shared" si="19"/>
        <v>0</v>
      </c>
      <c r="J74" s="477">
        <f t="shared" si="19"/>
        <v>0</v>
      </c>
      <c r="K74" s="351">
        <f t="shared" si="19"/>
        <v>0</v>
      </c>
      <c r="L74" s="350">
        <f t="shared" si="19"/>
        <v>1132</v>
      </c>
      <c r="M74" s="351">
        <f t="shared" si="19"/>
        <v>3425000</v>
      </c>
    </row>
    <row r="75" spans="1:13" ht="45" x14ac:dyDescent="0.25">
      <c r="A75" s="83" t="s">
        <v>344</v>
      </c>
      <c r="B75" s="30">
        <f>Bul_Lone!B19</f>
        <v>567</v>
      </c>
      <c r="C75" s="618">
        <f>Bul_Lone!C19</f>
        <v>3402000</v>
      </c>
      <c r="D75" s="30">
        <f>Bul_Lone!D19</f>
        <v>516</v>
      </c>
      <c r="E75" s="618">
        <f>Bul_Lone!E19</f>
        <v>3096000</v>
      </c>
      <c r="F75" s="575"/>
      <c r="G75" s="17"/>
      <c r="H75" s="575"/>
      <c r="I75" s="17"/>
      <c r="J75" s="575"/>
      <c r="K75" s="17"/>
      <c r="L75" s="345">
        <f>Bul_Lone!L18</f>
        <v>1132</v>
      </c>
      <c r="M75" s="344">
        <f>Bul_Lone!M18</f>
        <v>3425000</v>
      </c>
    </row>
    <row r="76" spans="1:13" ht="30" x14ac:dyDescent="0.25">
      <c r="A76" s="63" t="s">
        <v>422</v>
      </c>
      <c r="B76" s="477">
        <f t="shared" si="19"/>
        <v>0</v>
      </c>
      <c r="C76" s="351">
        <f t="shared" si="19"/>
        <v>0</v>
      </c>
      <c r="D76" s="477">
        <f t="shared" si="19"/>
        <v>0</v>
      </c>
      <c r="E76" s="351">
        <f t="shared" si="19"/>
        <v>0</v>
      </c>
      <c r="F76" s="477">
        <f t="shared" si="19"/>
        <v>0</v>
      </c>
      <c r="G76" s="351">
        <f t="shared" si="19"/>
        <v>0</v>
      </c>
      <c r="H76" s="477">
        <f t="shared" si="19"/>
        <v>0</v>
      </c>
      <c r="I76" s="351">
        <f t="shared" si="19"/>
        <v>0</v>
      </c>
      <c r="J76" s="477">
        <f t="shared" si="19"/>
        <v>0</v>
      </c>
      <c r="K76" s="351">
        <f t="shared" si="19"/>
        <v>0</v>
      </c>
      <c r="L76" s="350"/>
      <c r="M76" s="351"/>
    </row>
    <row r="78" spans="1:13" s="48" customFormat="1" ht="36" customHeight="1" x14ac:dyDescent="0.25">
      <c r="A78" s="906" t="s">
        <v>3</v>
      </c>
      <c r="B78" s="896" t="s">
        <v>331</v>
      </c>
      <c r="C78" s="897"/>
      <c r="D78" s="897"/>
      <c r="E78" s="898"/>
      <c r="F78" s="896" t="s">
        <v>403</v>
      </c>
      <c r="G78" s="897"/>
      <c r="H78" s="897"/>
      <c r="I78" s="898"/>
      <c r="J78" s="913" t="s">
        <v>404</v>
      </c>
      <c r="K78" s="914"/>
      <c r="L78" s="914"/>
      <c r="M78" s="915"/>
    </row>
    <row r="79" spans="1:13" x14ac:dyDescent="0.25">
      <c r="A79" s="906"/>
      <c r="B79" s="899" t="s">
        <v>327</v>
      </c>
      <c r="C79" s="899"/>
      <c r="D79" s="900" t="s">
        <v>333</v>
      </c>
      <c r="E79" s="901"/>
      <c r="F79" s="899" t="s">
        <v>327</v>
      </c>
      <c r="G79" s="899"/>
      <c r="H79" s="900" t="s">
        <v>333</v>
      </c>
      <c r="I79" s="901"/>
      <c r="J79" s="899" t="s">
        <v>327</v>
      </c>
      <c r="K79" s="899"/>
      <c r="L79" s="900" t="s">
        <v>333</v>
      </c>
      <c r="M79" s="901"/>
    </row>
    <row r="80" spans="1:13" ht="45" x14ac:dyDescent="0.25">
      <c r="A80" s="906"/>
      <c r="B80" s="575" t="s">
        <v>308</v>
      </c>
      <c r="C80" s="476" t="s">
        <v>60</v>
      </c>
      <c r="D80" s="575" t="s">
        <v>332</v>
      </c>
      <c r="E80" s="17" t="s">
        <v>305</v>
      </c>
      <c r="F80" s="575" t="s">
        <v>308</v>
      </c>
      <c r="G80" s="476" t="s">
        <v>60</v>
      </c>
      <c r="H80" s="575" t="s">
        <v>332</v>
      </c>
      <c r="I80" s="17" t="s">
        <v>305</v>
      </c>
      <c r="J80" s="575" t="s">
        <v>308</v>
      </c>
      <c r="K80" s="574" t="s">
        <v>60</v>
      </c>
      <c r="L80" s="575" t="s">
        <v>253</v>
      </c>
      <c r="M80" s="17" t="s">
        <v>305</v>
      </c>
    </row>
    <row r="81" spans="1:13" s="605" customFormat="1" ht="15.75" x14ac:dyDescent="0.25">
      <c r="A81" s="601" t="s">
        <v>14</v>
      </c>
      <c r="B81" s="602">
        <f>B82+B90+B98+B105+B111</f>
        <v>0</v>
      </c>
      <c r="C81" s="604">
        <f>C82+C90+C98+C105+C111</f>
        <v>0</v>
      </c>
      <c r="D81" s="602">
        <f t="shared" ref="D81:M81" si="20">D82+D90+D98+D105+D111</f>
        <v>12</v>
      </c>
      <c r="E81" s="604">
        <f t="shared" si="20"/>
        <v>31100</v>
      </c>
      <c r="F81" s="602">
        <f t="shared" si="20"/>
        <v>0</v>
      </c>
      <c r="G81" s="604">
        <f t="shared" si="20"/>
        <v>0</v>
      </c>
      <c r="H81" s="602">
        <f t="shared" si="20"/>
        <v>0</v>
      </c>
      <c r="I81" s="604">
        <f t="shared" si="20"/>
        <v>0</v>
      </c>
      <c r="J81" s="602">
        <f t="shared" si="20"/>
        <v>0</v>
      </c>
      <c r="K81" s="604">
        <f t="shared" si="20"/>
        <v>0</v>
      </c>
      <c r="L81" s="602">
        <f t="shared" si="20"/>
        <v>0</v>
      </c>
      <c r="M81" s="604">
        <f t="shared" si="20"/>
        <v>0</v>
      </c>
    </row>
    <row r="82" spans="1:13" x14ac:dyDescent="0.25">
      <c r="A82" s="349" t="s">
        <v>405</v>
      </c>
      <c r="B82" s="477">
        <f t="shared" ref="B82:G82" si="21">SUM(B83:B88)</f>
        <v>0</v>
      </c>
      <c r="C82" s="351">
        <f t="shared" si="21"/>
        <v>0</v>
      </c>
      <c r="D82" s="477">
        <f t="shared" si="21"/>
        <v>1</v>
      </c>
      <c r="E82" s="351">
        <f t="shared" si="21"/>
        <v>100</v>
      </c>
      <c r="F82" s="477">
        <f t="shared" si="21"/>
        <v>0</v>
      </c>
      <c r="G82" s="351">
        <f t="shared" si="21"/>
        <v>0</v>
      </c>
      <c r="H82" s="477">
        <f>SUM(H83:H89)</f>
        <v>0</v>
      </c>
      <c r="I82" s="351">
        <f>SUM(I83:I89)</f>
        <v>0</v>
      </c>
      <c r="J82" s="477">
        <f t="shared" ref="J82:K82" si="22">SUM(J83:J88)</f>
        <v>0</v>
      </c>
      <c r="K82" s="351">
        <f t="shared" si="22"/>
        <v>0</v>
      </c>
      <c r="L82" s="477">
        <f>SUM(L83:L89)</f>
        <v>0</v>
      </c>
      <c r="M82" s="351">
        <f>SUM(M83:M89)</f>
        <v>0</v>
      </c>
    </row>
    <row r="83" spans="1:13" x14ac:dyDescent="0.25">
      <c r="A83" s="83" t="s">
        <v>91</v>
      </c>
      <c r="B83" s="575"/>
      <c r="C83" s="17"/>
      <c r="D83" s="20">
        <f>'Bul_1st '!D35</f>
        <v>0</v>
      </c>
      <c r="E83" s="17">
        <f>'Bul_1st '!E35</f>
        <v>0</v>
      </c>
      <c r="F83" s="575"/>
      <c r="G83" s="17"/>
      <c r="H83" s="20">
        <f>'Bul_1st '!H35</f>
        <v>0</v>
      </c>
      <c r="I83" s="17">
        <f>'Bul_1st '!I35</f>
        <v>0</v>
      </c>
      <c r="J83" s="575"/>
      <c r="K83" s="17"/>
      <c r="L83" s="5"/>
      <c r="M83" s="17"/>
    </row>
    <row r="84" spans="1:13" x14ac:dyDescent="0.25">
      <c r="A84" s="83" t="s">
        <v>92</v>
      </c>
      <c r="B84" s="575"/>
      <c r="C84" s="17"/>
      <c r="D84" s="20">
        <f>'Bul_1st '!D36</f>
        <v>0</v>
      </c>
      <c r="E84" s="17">
        <f>'Bul_1st '!E36</f>
        <v>0</v>
      </c>
      <c r="F84" s="575"/>
      <c r="G84" s="17"/>
      <c r="H84" s="20">
        <f>'Bul_1st '!H36</f>
        <v>0</v>
      </c>
      <c r="I84" s="17">
        <f>'Bul_1st '!I36</f>
        <v>0</v>
      </c>
      <c r="J84" s="575"/>
      <c r="K84" s="17"/>
      <c r="L84" s="20"/>
      <c r="M84" s="17"/>
    </row>
    <row r="85" spans="1:13" x14ac:dyDescent="0.25">
      <c r="A85" s="83" t="s">
        <v>93</v>
      </c>
      <c r="B85" s="575"/>
      <c r="C85" s="17"/>
      <c r="D85" s="20">
        <f>'Bul_1st '!D37</f>
        <v>1</v>
      </c>
      <c r="E85" s="17">
        <f>'Bul_1st '!E37</f>
        <v>100</v>
      </c>
      <c r="F85" s="575"/>
      <c r="G85" s="17"/>
      <c r="H85" s="20">
        <f>'Bul_1st '!H37</f>
        <v>0</v>
      </c>
      <c r="I85" s="17">
        <f>'Bul_1st '!I37</f>
        <v>0</v>
      </c>
      <c r="J85" s="575"/>
      <c r="K85" s="17"/>
      <c r="L85" s="20"/>
      <c r="M85" s="17"/>
    </row>
    <row r="86" spans="1:13" x14ac:dyDescent="0.25">
      <c r="A86" s="83" t="s">
        <v>94</v>
      </c>
      <c r="B86" s="575"/>
      <c r="C86" s="17"/>
      <c r="D86" s="20">
        <f>'Bul_1st '!D38</f>
        <v>0</v>
      </c>
      <c r="E86" s="17">
        <f>'Bul_1st '!E38</f>
        <v>0</v>
      </c>
      <c r="F86" s="575"/>
      <c r="G86" s="17"/>
      <c r="H86" s="20">
        <f>'Bul_1st '!H38</f>
        <v>0</v>
      </c>
      <c r="I86" s="17">
        <f>'Bul_1st '!I38</f>
        <v>0</v>
      </c>
      <c r="J86" s="575"/>
      <c r="K86" s="17"/>
      <c r="L86" s="20"/>
      <c r="M86" s="17"/>
    </row>
    <row r="87" spans="1:13" x14ac:dyDescent="0.25">
      <c r="A87" s="83" t="s">
        <v>95</v>
      </c>
      <c r="B87" s="575"/>
      <c r="C87" s="17"/>
      <c r="D87" s="20">
        <f>'Bul_1st '!D39</f>
        <v>0</v>
      </c>
      <c r="E87" s="17">
        <f>'Bul_1st '!E39</f>
        <v>0</v>
      </c>
      <c r="F87" s="575"/>
      <c r="G87" s="17"/>
      <c r="H87" s="20">
        <f>'Bul_1st '!H39</f>
        <v>0</v>
      </c>
      <c r="I87" s="17">
        <f>'Bul_1st '!I39</f>
        <v>0</v>
      </c>
      <c r="J87" s="575"/>
      <c r="K87" s="17"/>
      <c r="L87" s="20"/>
      <c r="M87" s="17"/>
    </row>
    <row r="88" spans="1:13" x14ac:dyDescent="0.25">
      <c r="A88" s="83" t="s">
        <v>96</v>
      </c>
      <c r="B88" s="575"/>
      <c r="C88" s="17"/>
      <c r="D88" s="20">
        <f>'Bul_1st '!D40</f>
        <v>0</v>
      </c>
      <c r="E88" s="17">
        <f>'Bul_1st '!E40</f>
        <v>0</v>
      </c>
      <c r="F88" s="575"/>
      <c r="G88" s="17"/>
      <c r="H88" s="20">
        <f>'Bul_1st '!H40</f>
        <v>0</v>
      </c>
      <c r="I88" s="17">
        <f>'Bul_1st '!I40</f>
        <v>0</v>
      </c>
      <c r="J88" s="575"/>
      <c r="K88" s="17"/>
      <c r="L88" s="20"/>
      <c r="M88" s="17"/>
    </row>
    <row r="89" spans="1:13" x14ac:dyDescent="0.25">
      <c r="A89" s="275" t="s">
        <v>393</v>
      </c>
      <c r="B89" s="275"/>
      <c r="C89" s="344"/>
      <c r="D89" s="20">
        <f>'Bul_1st '!D41</f>
        <v>0</v>
      </c>
      <c r="E89" s="17">
        <f>'Bul_1st '!E41</f>
        <v>0</v>
      </c>
      <c r="F89" s="275"/>
      <c r="G89" s="275"/>
      <c r="H89" s="20">
        <f>'Bul_1st '!H41</f>
        <v>0</v>
      </c>
      <c r="I89" s="17">
        <f>'Bul_1st '!I41</f>
        <v>0</v>
      </c>
      <c r="J89" s="275"/>
      <c r="K89" s="275"/>
      <c r="L89" s="275"/>
      <c r="M89" s="344"/>
    </row>
    <row r="90" spans="1:13" x14ac:dyDescent="0.25">
      <c r="A90" s="349" t="s">
        <v>397</v>
      </c>
      <c r="B90" s="477">
        <f t="shared" ref="B90:E90" si="23">SUM(B91:B97)</f>
        <v>0</v>
      </c>
      <c r="C90" s="351">
        <f t="shared" si="23"/>
        <v>0</v>
      </c>
      <c r="D90" s="477">
        <f t="shared" si="23"/>
        <v>1</v>
      </c>
      <c r="E90" s="351">
        <f t="shared" si="23"/>
        <v>5000</v>
      </c>
      <c r="F90" s="477">
        <f t="shared" ref="F90:M90" si="24">SUM(F91:F97)</f>
        <v>0</v>
      </c>
      <c r="G90" s="351">
        <f t="shared" si="24"/>
        <v>0</v>
      </c>
      <c r="H90" s="477">
        <f t="shared" si="24"/>
        <v>0</v>
      </c>
      <c r="I90" s="351">
        <f t="shared" si="24"/>
        <v>0</v>
      </c>
      <c r="J90" s="477">
        <f t="shared" si="24"/>
        <v>0</v>
      </c>
      <c r="K90" s="351">
        <f t="shared" si="24"/>
        <v>0</v>
      </c>
      <c r="L90" s="477">
        <f t="shared" si="24"/>
        <v>0</v>
      </c>
      <c r="M90" s="351">
        <f t="shared" si="24"/>
        <v>0</v>
      </c>
    </row>
    <row r="91" spans="1:13" x14ac:dyDescent="0.25">
      <c r="A91" s="83" t="s">
        <v>100</v>
      </c>
      <c r="B91" s="575"/>
      <c r="C91" s="17"/>
      <c r="D91" s="20">
        <f>Bul_2nd!D37</f>
        <v>0</v>
      </c>
      <c r="E91" s="17">
        <f>Bul_2nd!E37</f>
        <v>0</v>
      </c>
      <c r="F91" s="20"/>
      <c r="G91" s="17"/>
      <c r="H91" s="20"/>
      <c r="I91" s="17"/>
      <c r="J91" s="20"/>
      <c r="K91" s="17"/>
      <c r="L91" s="20"/>
      <c r="M91" s="17"/>
    </row>
    <row r="92" spans="1:13" x14ac:dyDescent="0.25">
      <c r="A92" s="83" t="s">
        <v>101</v>
      </c>
      <c r="B92" s="575"/>
      <c r="C92" s="17"/>
      <c r="D92" s="20">
        <f>Bul_2nd!D38</f>
        <v>1</v>
      </c>
      <c r="E92" s="17">
        <f>Bul_2nd!E38</f>
        <v>5000</v>
      </c>
      <c r="F92" s="20"/>
      <c r="G92" s="17"/>
      <c r="H92" s="20"/>
      <c r="I92" s="17"/>
      <c r="J92" s="20"/>
      <c r="K92" s="17"/>
      <c r="L92" s="20"/>
      <c r="M92" s="17"/>
    </row>
    <row r="93" spans="1:13" x14ac:dyDescent="0.25">
      <c r="A93" s="83" t="s">
        <v>102</v>
      </c>
      <c r="B93" s="575"/>
      <c r="C93" s="17"/>
      <c r="D93" s="20">
        <f>Bul_2nd!D39</f>
        <v>0</v>
      </c>
      <c r="E93" s="17">
        <f>Bul_2nd!E39</f>
        <v>0</v>
      </c>
      <c r="F93" s="20"/>
      <c r="G93" s="17"/>
      <c r="H93" s="20"/>
      <c r="I93" s="17"/>
      <c r="J93" s="20"/>
      <c r="K93" s="17"/>
      <c r="L93" s="20"/>
      <c r="M93" s="17"/>
    </row>
    <row r="94" spans="1:13" x14ac:dyDescent="0.25">
      <c r="A94" s="83" t="s">
        <v>103</v>
      </c>
      <c r="B94" s="575"/>
      <c r="C94" s="17"/>
      <c r="D94" s="20">
        <f>Bul_2nd!D40</f>
        <v>0</v>
      </c>
      <c r="E94" s="17">
        <f>Bul_2nd!E40</f>
        <v>0</v>
      </c>
      <c r="F94" s="20"/>
      <c r="G94" s="17"/>
      <c r="H94" s="20"/>
      <c r="I94" s="17"/>
      <c r="J94" s="20"/>
      <c r="K94" s="17"/>
      <c r="L94" s="20"/>
      <c r="M94" s="17"/>
    </row>
    <row r="95" spans="1:13" x14ac:dyDescent="0.25">
      <c r="A95" s="83" t="s">
        <v>104</v>
      </c>
      <c r="B95" s="575"/>
      <c r="C95" s="17"/>
      <c r="D95" s="20">
        <f>Bul_2nd!D41</f>
        <v>0</v>
      </c>
      <c r="E95" s="17">
        <f>Bul_2nd!E41</f>
        <v>0</v>
      </c>
      <c r="F95" s="20"/>
      <c r="G95" s="17"/>
      <c r="H95" s="20"/>
      <c r="I95" s="17"/>
      <c r="J95" s="20"/>
      <c r="K95" s="17"/>
      <c r="L95" s="20"/>
      <c r="M95" s="17"/>
    </row>
    <row r="96" spans="1:13" x14ac:dyDescent="0.25">
      <c r="A96" s="83" t="s">
        <v>105</v>
      </c>
      <c r="B96" s="575"/>
      <c r="C96" s="17"/>
      <c r="D96" s="20">
        <f>Bul_2nd!D42</f>
        <v>0</v>
      </c>
      <c r="E96" s="17">
        <f>Bul_2nd!E42</f>
        <v>0</v>
      </c>
      <c r="F96" s="20"/>
      <c r="G96" s="17"/>
      <c r="H96" s="20"/>
      <c r="I96" s="17"/>
      <c r="J96" s="20"/>
      <c r="K96" s="17"/>
      <c r="L96" s="20"/>
      <c r="M96" s="17"/>
    </row>
    <row r="97" spans="1:13" x14ac:dyDescent="0.25">
      <c r="A97" s="83" t="s">
        <v>106</v>
      </c>
      <c r="B97" s="575"/>
      <c r="C97" s="17"/>
      <c r="D97" s="20">
        <f>Bul_2nd!D43</f>
        <v>0</v>
      </c>
      <c r="E97" s="17">
        <f>Bul_2nd!E43</f>
        <v>0</v>
      </c>
      <c r="F97" s="20"/>
      <c r="G97" s="17"/>
      <c r="H97" s="20"/>
      <c r="I97" s="17"/>
      <c r="J97" s="20"/>
      <c r="K97" s="17"/>
      <c r="L97" s="20"/>
      <c r="M97" s="17"/>
    </row>
    <row r="98" spans="1:13" x14ac:dyDescent="0.25">
      <c r="A98" s="349" t="s">
        <v>406</v>
      </c>
      <c r="B98" s="477">
        <f t="shared" ref="B98:M98" si="25">SUM(B99:B104)</f>
        <v>0</v>
      </c>
      <c r="C98" s="351">
        <f t="shared" si="25"/>
        <v>0</v>
      </c>
      <c r="D98" s="477">
        <f t="shared" si="25"/>
        <v>2</v>
      </c>
      <c r="E98" s="351">
        <f t="shared" si="25"/>
        <v>5250</v>
      </c>
      <c r="F98" s="477">
        <f t="shared" si="25"/>
        <v>0</v>
      </c>
      <c r="G98" s="351">
        <f t="shared" si="25"/>
        <v>0</v>
      </c>
      <c r="H98" s="477">
        <f t="shared" si="25"/>
        <v>0</v>
      </c>
      <c r="I98" s="351">
        <f t="shared" si="25"/>
        <v>0</v>
      </c>
      <c r="J98" s="477">
        <f t="shared" si="25"/>
        <v>0</v>
      </c>
      <c r="K98" s="351">
        <f t="shared" si="25"/>
        <v>0</v>
      </c>
      <c r="L98" s="477">
        <f t="shared" si="25"/>
        <v>0</v>
      </c>
      <c r="M98" s="351">
        <f t="shared" si="25"/>
        <v>0</v>
      </c>
    </row>
    <row r="99" spans="1:13" x14ac:dyDescent="0.25">
      <c r="A99" s="83" t="s">
        <v>107</v>
      </c>
      <c r="B99" s="575"/>
      <c r="C99" s="17"/>
      <c r="D99" s="20">
        <f>Bul_3rd!D35</f>
        <v>0</v>
      </c>
      <c r="E99" s="17">
        <f>Bul_3rd!E35</f>
        <v>0</v>
      </c>
      <c r="F99" s="30"/>
      <c r="G99" s="384"/>
      <c r="H99" s="30">
        <f>Bul_3rd!L35</f>
        <v>0</v>
      </c>
      <c r="I99" s="384">
        <f>Bul_3rd!M35</f>
        <v>0</v>
      </c>
      <c r="J99" s="30">
        <f>Bul_3rd!F35</f>
        <v>0</v>
      </c>
      <c r="K99" s="384">
        <f>Bul_3rd!G35</f>
        <v>0</v>
      </c>
      <c r="L99" s="30">
        <f>Bul_3rd!H35</f>
        <v>0</v>
      </c>
      <c r="M99" s="384">
        <f>Bul_3rd!I35</f>
        <v>0</v>
      </c>
    </row>
    <row r="100" spans="1:13" x14ac:dyDescent="0.25">
      <c r="A100" s="83" t="s">
        <v>108</v>
      </c>
      <c r="B100" s="575"/>
      <c r="C100" s="17"/>
      <c r="D100" s="20">
        <f>Bul_3rd!D36</f>
        <v>0</v>
      </c>
      <c r="E100" s="17">
        <f>Bul_3rd!E36</f>
        <v>0</v>
      </c>
      <c r="F100" s="30"/>
      <c r="G100" s="384"/>
      <c r="H100" s="30">
        <f>Bul_3rd!L36</f>
        <v>0</v>
      </c>
      <c r="I100" s="384">
        <f>Bul_3rd!M36</f>
        <v>0</v>
      </c>
      <c r="J100" s="30">
        <f>Bul_3rd!F36</f>
        <v>0</v>
      </c>
      <c r="K100" s="384">
        <f>Bul_3rd!G36</f>
        <v>0</v>
      </c>
      <c r="L100" s="30">
        <f>Bul_3rd!H36</f>
        <v>0</v>
      </c>
      <c r="M100" s="384">
        <f>Bul_3rd!I36</f>
        <v>0</v>
      </c>
    </row>
    <row r="101" spans="1:13" x14ac:dyDescent="0.25">
      <c r="A101" s="83" t="s">
        <v>109</v>
      </c>
      <c r="B101" s="575"/>
      <c r="C101" s="17"/>
      <c r="D101" s="20">
        <f>Bul_3rd!D37</f>
        <v>1</v>
      </c>
      <c r="E101" s="17">
        <f>Bul_3rd!E37</f>
        <v>250</v>
      </c>
      <c r="F101" s="30"/>
      <c r="G101" s="384"/>
      <c r="H101" s="30">
        <f>Bul_3rd!L37</f>
        <v>0</v>
      </c>
      <c r="I101" s="384">
        <f>Bul_3rd!M37</f>
        <v>0</v>
      </c>
      <c r="J101" s="30">
        <f>Bul_3rd!F37</f>
        <v>0</v>
      </c>
      <c r="K101" s="384">
        <f>Bul_3rd!G37</f>
        <v>0</v>
      </c>
      <c r="L101" s="30">
        <f>Bul_3rd!H37</f>
        <v>0</v>
      </c>
      <c r="M101" s="384">
        <f>Bul_3rd!I37</f>
        <v>0</v>
      </c>
    </row>
    <row r="102" spans="1:13" x14ac:dyDescent="0.25">
      <c r="A102" s="83" t="s">
        <v>110</v>
      </c>
      <c r="B102" s="575"/>
      <c r="C102" s="17"/>
      <c r="D102" s="20">
        <f>Bul_3rd!D38</f>
        <v>0</v>
      </c>
      <c r="E102" s="17">
        <f>Bul_3rd!E38</f>
        <v>0</v>
      </c>
      <c r="F102" s="30"/>
      <c r="G102" s="384"/>
      <c r="H102" s="30">
        <f>Bul_3rd!L38</f>
        <v>0</v>
      </c>
      <c r="I102" s="384">
        <f>Bul_3rd!M38</f>
        <v>0</v>
      </c>
      <c r="J102" s="30">
        <f>Bul_3rd!F38</f>
        <v>0</v>
      </c>
      <c r="K102" s="384">
        <f>Bul_3rd!G38</f>
        <v>0</v>
      </c>
      <c r="L102" s="30">
        <f>Bul_3rd!H38</f>
        <v>0</v>
      </c>
      <c r="M102" s="384">
        <f>Bul_3rd!I38</f>
        <v>0</v>
      </c>
    </row>
    <row r="103" spans="1:13" x14ac:dyDescent="0.25">
      <c r="A103" s="83" t="s">
        <v>111</v>
      </c>
      <c r="B103" s="575"/>
      <c r="C103" s="17"/>
      <c r="D103" s="20">
        <f>Bul_3rd!D39</f>
        <v>0</v>
      </c>
      <c r="E103" s="17">
        <f>Bul_3rd!E39</f>
        <v>0</v>
      </c>
      <c r="F103" s="30"/>
      <c r="G103" s="384"/>
      <c r="H103" s="30">
        <f>Bul_3rd!L39</f>
        <v>0</v>
      </c>
      <c r="I103" s="384">
        <f>Bul_3rd!M39</f>
        <v>0</v>
      </c>
      <c r="J103" s="30">
        <f>Bul_3rd!F39</f>
        <v>0</v>
      </c>
      <c r="K103" s="384">
        <f>Bul_3rd!G39</f>
        <v>0</v>
      </c>
      <c r="L103" s="30">
        <f>Bul_3rd!H39</f>
        <v>0</v>
      </c>
      <c r="M103" s="384">
        <f>Bul_3rd!I39</f>
        <v>0</v>
      </c>
    </row>
    <row r="104" spans="1:13" x14ac:dyDescent="0.25">
      <c r="A104" s="83" t="s">
        <v>112</v>
      </c>
      <c r="B104" s="575"/>
      <c r="C104" s="17"/>
      <c r="D104" s="20">
        <f>Bul_3rd!D40</f>
        <v>1</v>
      </c>
      <c r="E104" s="17">
        <f>Bul_3rd!E40</f>
        <v>5000</v>
      </c>
      <c r="F104" s="30"/>
      <c r="G104" s="384"/>
      <c r="H104" s="30">
        <f>Bul_3rd!L40</f>
        <v>0</v>
      </c>
      <c r="I104" s="384">
        <f>Bul_3rd!M40</f>
        <v>0</v>
      </c>
      <c r="J104" s="30">
        <f>Bul_3rd!F40</f>
        <v>0</v>
      </c>
      <c r="K104" s="384">
        <f>Bul_3rd!G40</f>
        <v>0</v>
      </c>
      <c r="L104" s="30">
        <f>Bul_3rd!H40</f>
        <v>0</v>
      </c>
      <c r="M104" s="384">
        <f>Bul_3rd!I40</f>
        <v>0</v>
      </c>
    </row>
    <row r="105" spans="1:13" x14ac:dyDescent="0.25">
      <c r="A105" s="349" t="s">
        <v>399</v>
      </c>
      <c r="B105" s="477">
        <f t="shared" ref="B105:G105" si="26">SUM(B106:B109)</f>
        <v>0</v>
      </c>
      <c r="C105" s="351">
        <f t="shared" si="26"/>
        <v>0</v>
      </c>
      <c r="D105" s="477">
        <f t="shared" si="26"/>
        <v>1</v>
      </c>
      <c r="E105" s="351">
        <f t="shared" si="26"/>
        <v>100</v>
      </c>
      <c r="F105" s="477">
        <f t="shared" si="26"/>
        <v>0</v>
      </c>
      <c r="G105" s="351">
        <f t="shared" si="26"/>
        <v>0</v>
      </c>
      <c r="H105" s="477">
        <f>SUM(H106:H110)</f>
        <v>0</v>
      </c>
      <c r="I105" s="578">
        <f>SUM(I106:I110)</f>
        <v>0</v>
      </c>
      <c r="J105" s="477">
        <f t="shared" ref="J105:K105" si="27">SUM(J106:J109)</f>
        <v>0</v>
      </c>
      <c r="K105" s="351">
        <f t="shared" si="27"/>
        <v>0</v>
      </c>
      <c r="L105" s="477">
        <f>SUM(L106:L110)</f>
        <v>0</v>
      </c>
      <c r="M105" s="578">
        <f>SUM(M106:M110)</f>
        <v>0</v>
      </c>
    </row>
    <row r="106" spans="1:13" ht="30" x14ac:dyDescent="0.25">
      <c r="A106" s="83" t="s">
        <v>113</v>
      </c>
      <c r="B106" s="575"/>
      <c r="C106" s="17"/>
      <c r="D106" s="20">
        <f>Bul_4th!D33</f>
        <v>0</v>
      </c>
      <c r="E106" s="17">
        <f>Bul_4th!E33</f>
        <v>0</v>
      </c>
      <c r="F106" s="575"/>
      <c r="G106" s="17"/>
      <c r="H106" s="617">
        <f>Bul_4th!H33</f>
        <v>0</v>
      </c>
      <c r="I106" s="17">
        <f>Bul_4th!I33</f>
        <v>0</v>
      </c>
      <c r="J106" s="575"/>
      <c r="K106" s="17"/>
      <c r="L106" s="5"/>
      <c r="M106" s="17"/>
    </row>
    <row r="107" spans="1:13" x14ac:dyDescent="0.25">
      <c r="A107" s="83" t="s">
        <v>114</v>
      </c>
      <c r="B107" s="575"/>
      <c r="C107" s="17"/>
      <c r="D107" s="20">
        <f>Bul_4th!D34</f>
        <v>1</v>
      </c>
      <c r="E107" s="17">
        <f>Bul_4th!E34</f>
        <v>100</v>
      </c>
      <c r="F107" s="575"/>
      <c r="G107" s="17"/>
      <c r="H107" s="617">
        <f>Bul_4th!H34</f>
        <v>0</v>
      </c>
      <c r="I107" s="17">
        <f>Bul_4th!I34</f>
        <v>0</v>
      </c>
      <c r="J107" s="575"/>
      <c r="K107" s="17"/>
      <c r="L107" s="20"/>
      <c r="M107" s="17"/>
    </row>
    <row r="108" spans="1:13" x14ac:dyDescent="0.25">
      <c r="A108" s="83" t="s">
        <v>115</v>
      </c>
      <c r="B108" s="575"/>
      <c r="C108" s="17"/>
      <c r="D108" s="20">
        <f>Bul_4th!D35</f>
        <v>0</v>
      </c>
      <c r="E108" s="17">
        <f>Bul_4th!E35</f>
        <v>0</v>
      </c>
      <c r="F108" s="575"/>
      <c r="G108" s="17"/>
      <c r="H108" s="617">
        <f>Bul_4th!H35</f>
        <v>0</v>
      </c>
      <c r="I108" s="17">
        <f>Bul_4th!I35</f>
        <v>0</v>
      </c>
      <c r="J108" s="575"/>
      <c r="K108" s="17"/>
      <c r="L108" s="20"/>
      <c r="M108" s="17"/>
    </row>
    <row r="109" spans="1:13" x14ac:dyDescent="0.25">
      <c r="A109" s="83" t="s">
        <v>116</v>
      </c>
      <c r="B109" s="575"/>
      <c r="C109" s="17"/>
      <c r="D109" s="20">
        <f>Bul_4th!D36</f>
        <v>0</v>
      </c>
      <c r="E109" s="17">
        <f>Bul_4th!E36</f>
        <v>0</v>
      </c>
      <c r="F109" s="575"/>
      <c r="G109" s="17"/>
      <c r="H109" s="617">
        <f>Bul_4th!H36</f>
        <v>0</v>
      </c>
      <c r="I109" s="17">
        <f>Bul_4th!I36</f>
        <v>0</v>
      </c>
      <c r="J109" s="575"/>
      <c r="K109" s="17"/>
      <c r="L109" s="20"/>
      <c r="M109" s="17"/>
    </row>
    <row r="110" spans="1:13" x14ac:dyDescent="0.25">
      <c r="A110" s="275" t="s">
        <v>394</v>
      </c>
      <c r="B110" s="275"/>
      <c r="C110" s="344"/>
      <c r="D110" s="20">
        <f>Bul_4th!D37</f>
        <v>0</v>
      </c>
      <c r="E110" s="17">
        <f>Bul_4th!E37</f>
        <v>0</v>
      </c>
      <c r="F110" s="275"/>
      <c r="G110" s="275"/>
      <c r="H110" s="617">
        <f>Bul_4th!H37</f>
        <v>0</v>
      </c>
      <c r="I110" s="17">
        <f>Bul_4th!I37</f>
        <v>0</v>
      </c>
      <c r="J110" s="275"/>
      <c r="K110" s="275"/>
      <c r="L110" s="275"/>
      <c r="M110" s="344"/>
    </row>
    <row r="111" spans="1:13" x14ac:dyDescent="0.25">
      <c r="A111" s="349" t="s">
        <v>408</v>
      </c>
      <c r="B111" s="477">
        <f t="shared" ref="B111:M111" si="28">SUM(B112:B112)</f>
        <v>0</v>
      </c>
      <c r="C111" s="351">
        <f t="shared" si="28"/>
        <v>0</v>
      </c>
      <c r="D111" s="477">
        <f t="shared" si="28"/>
        <v>7</v>
      </c>
      <c r="E111" s="351">
        <f t="shared" si="28"/>
        <v>20650</v>
      </c>
      <c r="F111" s="477">
        <f t="shared" si="28"/>
        <v>0</v>
      </c>
      <c r="G111" s="351">
        <f t="shared" si="28"/>
        <v>0</v>
      </c>
      <c r="H111" s="477">
        <f t="shared" si="28"/>
        <v>0</v>
      </c>
      <c r="I111" s="351">
        <f t="shared" si="28"/>
        <v>0</v>
      </c>
      <c r="J111" s="477">
        <f t="shared" si="28"/>
        <v>0</v>
      </c>
      <c r="K111" s="351">
        <f t="shared" si="28"/>
        <v>0</v>
      </c>
      <c r="L111" s="477">
        <f t="shared" si="28"/>
        <v>0</v>
      </c>
      <c r="M111" s="351">
        <f t="shared" si="28"/>
        <v>0</v>
      </c>
    </row>
    <row r="112" spans="1:13" ht="45" x14ac:dyDescent="0.25">
      <c r="A112" s="83" t="s">
        <v>344</v>
      </c>
      <c r="B112" s="575"/>
      <c r="C112" s="17"/>
      <c r="D112" s="575">
        <f>Bul_Lone!D25</f>
        <v>7</v>
      </c>
      <c r="E112" s="17">
        <f>Bul_Lone!E25</f>
        <v>20650</v>
      </c>
      <c r="F112" s="575"/>
      <c r="G112" s="17"/>
      <c r="H112" s="575"/>
      <c r="I112" s="17"/>
      <c r="J112" s="575"/>
      <c r="K112" s="17"/>
      <c r="L112" s="575"/>
      <c r="M112" s="17"/>
    </row>
    <row r="115" spans="4:9" ht="14.45" customHeight="1" x14ac:dyDescent="0.25">
      <c r="D115" s="906" t="s">
        <v>3</v>
      </c>
      <c r="E115" s="906"/>
      <c r="F115" s="852" t="s">
        <v>14</v>
      </c>
      <c r="G115" s="852"/>
      <c r="H115" s="852"/>
      <c r="I115" s="852"/>
    </row>
    <row r="116" spans="4:9" x14ac:dyDescent="0.25">
      <c r="D116" s="906"/>
      <c r="E116" s="906"/>
      <c r="F116" s="899" t="s">
        <v>409</v>
      </c>
      <c r="G116" s="899"/>
      <c r="H116" s="899" t="s">
        <v>410</v>
      </c>
      <c r="I116" s="899"/>
    </row>
    <row r="117" spans="4:9" x14ac:dyDescent="0.25">
      <c r="D117" s="906"/>
      <c r="E117" s="906"/>
      <c r="F117" s="899"/>
      <c r="G117" s="899"/>
      <c r="H117" s="899"/>
      <c r="I117" s="899"/>
    </row>
    <row r="118" spans="4:9" ht="15.75" x14ac:dyDescent="0.25">
      <c r="D118" s="982" t="s">
        <v>14</v>
      </c>
      <c r="E118" s="982"/>
      <c r="F118" s="979">
        <f>F119+F127+F135+F142+F148</f>
        <v>1259072685.7</v>
      </c>
      <c r="G118" s="980"/>
      <c r="H118" s="979">
        <f>H119+H127+H135+H142+H148+H150</f>
        <v>910968360</v>
      </c>
      <c r="I118" s="980"/>
    </row>
    <row r="119" spans="4:9" x14ac:dyDescent="0.25">
      <c r="D119" s="974" t="s">
        <v>405</v>
      </c>
      <c r="E119" s="974"/>
      <c r="F119" s="975">
        <f>SUM(F120:G126)</f>
        <v>260132285.69999999</v>
      </c>
      <c r="G119" s="976"/>
      <c r="H119" s="975">
        <f>SUM(H120:I126)</f>
        <v>190544094</v>
      </c>
      <c r="I119" s="976"/>
    </row>
    <row r="120" spans="4:9" x14ac:dyDescent="0.25">
      <c r="D120" s="978" t="s">
        <v>91</v>
      </c>
      <c r="E120" s="978"/>
      <c r="F120" s="977">
        <f>C14+G14+K14+C48+G48+K48+C83+G83+K83</f>
        <v>34744000</v>
      </c>
      <c r="G120" s="899"/>
      <c r="H120" s="977">
        <f>E14+I14+M14+E48+I48+M48+E83+I83+M83</f>
        <v>25165170</v>
      </c>
      <c r="I120" s="899"/>
    </row>
    <row r="121" spans="4:9" x14ac:dyDescent="0.25">
      <c r="D121" s="978" t="s">
        <v>92</v>
      </c>
      <c r="E121" s="978"/>
      <c r="F121" s="977">
        <f t="shared" ref="F121:F125" si="29">C15+G15+K15+C49+G49+K49+C84+G84+K84</f>
        <v>45611000</v>
      </c>
      <c r="G121" s="899"/>
      <c r="H121" s="977">
        <f t="shared" ref="H121:H125" si="30">E15+I15+M15+E49+I49+M49+E84+I84+M84</f>
        <v>30406250</v>
      </c>
      <c r="I121" s="899"/>
    </row>
    <row r="122" spans="4:9" ht="14.45" customHeight="1" x14ac:dyDescent="0.25">
      <c r="D122" s="978" t="s">
        <v>93</v>
      </c>
      <c r="E122" s="978"/>
      <c r="F122" s="977">
        <f t="shared" si="29"/>
        <v>63103285.700000003</v>
      </c>
      <c r="G122" s="899"/>
      <c r="H122" s="977">
        <f t="shared" si="30"/>
        <v>44861353</v>
      </c>
      <c r="I122" s="899"/>
    </row>
    <row r="123" spans="4:9" x14ac:dyDescent="0.25">
      <c r="D123" s="978" t="s">
        <v>94</v>
      </c>
      <c r="E123" s="978"/>
      <c r="F123" s="977">
        <f t="shared" si="29"/>
        <v>50304000</v>
      </c>
      <c r="G123" s="899"/>
      <c r="H123" s="977">
        <f t="shared" si="30"/>
        <v>43695375</v>
      </c>
      <c r="I123" s="899"/>
    </row>
    <row r="124" spans="4:9" x14ac:dyDescent="0.25">
      <c r="D124" s="978" t="s">
        <v>95</v>
      </c>
      <c r="E124" s="978"/>
      <c r="F124" s="977">
        <f t="shared" si="29"/>
        <v>23835000</v>
      </c>
      <c r="G124" s="899"/>
      <c r="H124" s="977">
        <f t="shared" si="30"/>
        <v>19265100</v>
      </c>
      <c r="I124" s="899"/>
    </row>
    <row r="125" spans="4:9" x14ac:dyDescent="0.25">
      <c r="D125" s="978" t="s">
        <v>96</v>
      </c>
      <c r="E125" s="978"/>
      <c r="F125" s="977">
        <f t="shared" si="29"/>
        <v>42535000</v>
      </c>
      <c r="G125" s="899"/>
      <c r="H125" s="977">
        <f t="shared" si="30"/>
        <v>27150846</v>
      </c>
      <c r="I125" s="899"/>
    </row>
    <row r="126" spans="4:9" x14ac:dyDescent="0.25">
      <c r="D126" s="981" t="s">
        <v>393</v>
      </c>
      <c r="E126" s="981"/>
      <c r="F126" s="977">
        <f>C89+G89+K89</f>
        <v>0</v>
      </c>
      <c r="G126" s="899"/>
      <c r="H126" s="977">
        <f>E89+I89+M89</f>
        <v>0</v>
      </c>
      <c r="I126" s="899"/>
    </row>
    <row r="127" spans="4:9" x14ac:dyDescent="0.25">
      <c r="D127" s="974" t="s">
        <v>397</v>
      </c>
      <c r="E127" s="974"/>
      <c r="F127" s="975">
        <f>SUM(F128:G134)</f>
        <v>220135040</v>
      </c>
      <c r="G127" s="976"/>
      <c r="H127" s="975">
        <f>SUM(H128:I134)</f>
        <v>189272899</v>
      </c>
      <c r="I127" s="976"/>
    </row>
    <row r="128" spans="4:9" x14ac:dyDescent="0.25">
      <c r="D128" s="978" t="s">
        <v>100</v>
      </c>
      <c r="E128" s="978"/>
      <c r="F128" s="977">
        <f>C21+G21+K21+C55+G55+K55+C91+G91+K91</f>
        <v>26041320</v>
      </c>
      <c r="G128" s="899"/>
      <c r="H128" s="977">
        <f>E21+I21+M21+E55+I55+M55+E91+I91+M91</f>
        <v>20191400</v>
      </c>
      <c r="I128" s="899"/>
    </row>
    <row r="129" spans="4:9" x14ac:dyDescent="0.25">
      <c r="D129" s="978" t="s">
        <v>101</v>
      </c>
      <c r="E129" s="978"/>
      <c r="F129" s="977">
        <f t="shared" ref="F129:F134" si="31">C22+G22+K22+C56+G56+K56+C92+G92+K92</f>
        <v>38532000</v>
      </c>
      <c r="G129" s="899"/>
      <c r="H129" s="977">
        <f t="shared" ref="H129:H134" si="32">E22+I22+M22+E56+I56+M56+E92+I92+M92</f>
        <v>26482300</v>
      </c>
      <c r="I129" s="899"/>
    </row>
    <row r="130" spans="4:9" x14ac:dyDescent="0.25">
      <c r="D130" s="978" t="s">
        <v>102</v>
      </c>
      <c r="E130" s="978"/>
      <c r="F130" s="977">
        <f t="shared" si="31"/>
        <v>39460720</v>
      </c>
      <c r="G130" s="899"/>
      <c r="H130" s="977">
        <f t="shared" si="32"/>
        <v>28332200</v>
      </c>
      <c r="I130" s="899"/>
    </row>
    <row r="131" spans="4:9" x14ac:dyDescent="0.25">
      <c r="D131" s="978" t="s">
        <v>103</v>
      </c>
      <c r="E131" s="978"/>
      <c r="F131" s="977">
        <f t="shared" si="31"/>
        <v>28921000</v>
      </c>
      <c r="G131" s="899"/>
      <c r="H131" s="977">
        <f t="shared" si="32"/>
        <v>41602864</v>
      </c>
      <c r="I131" s="899"/>
    </row>
    <row r="132" spans="4:9" x14ac:dyDescent="0.25">
      <c r="D132" s="978" t="s">
        <v>104</v>
      </c>
      <c r="E132" s="978"/>
      <c r="F132" s="977">
        <f t="shared" si="31"/>
        <v>27879000</v>
      </c>
      <c r="G132" s="899"/>
      <c r="H132" s="977">
        <f t="shared" si="32"/>
        <v>20195651</v>
      </c>
      <c r="I132" s="899"/>
    </row>
    <row r="133" spans="4:9" x14ac:dyDescent="0.25">
      <c r="D133" s="978" t="s">
        <v>105</v>
      </c>
      <c r="E133" s="978"/>
      <c r="F133" s="977">
        <f t="shared" si="31"/>
        <v>31329000</v>
      </c>
      <c r="G133" s="899"/>
      <c r="H133" s="977">
        <f t="shared" si="32"/>
        <v>28218120</v>
      </c>
      <c r="I133" s="899"/>
    </row>
    <row r="134" spans="4:9" x14ac:dyDescent="0.25">
      <c r="D134" s="978" t="s">
        <v>106</v>
      </c>
      <c r="E134" s="978"/>
      <c r="F134" s="977">
        <f t="shared" si="31"/>
        <v>27972000</v>
      </c>
      <c r="G134" s="899"/>
      <c r="H134" s="977">
        <f t="shared" si="32"/>
        <v>24250364</v>
      </c>
      <c r="I134" s="899"/>
    </row>
    <row r="135" spans="4:9" x14ac:dyDescent="0.25">
      <c r="D135" s="974" t="s">
        <v>406</v>
      </c>
      <c r="E135" s="974"/>
      <c r="F135" s="975">
        <f>SUM(F136:G141)</f>
        <v>318099000</v>
      </c>
      <c r="G135" s="976"/>
      <c r="H135" s="975">
        <f>SUM(H136:I141)</f>
        <v>216527460</v>
      </c>
      <c r="I135" s="976"/>
    </row>
    <row r="136" spans="4:9" x14ac:dyDescent="0.25">
      <c r="D136" s="978" t="s">
        <v>107</v>
      </c>
      <c r="E136" s="978"/>
      <c r="F136" s="977">
        <f>C29+G29+K29+C63+G63+K63+C99+G99+K99</f>
        <v>31736000</v>
      </c>
      <c r="G136" s="899"/>
      <c r="H136" s="977">
        <f t="shared" ref="H136:H141" si="33">E29+I29+M29+E63+I63+M63+E99+I99+M99</f>
        <v>19858300</v>
      </c>
      <c r="I136" s="899"/>
    </row>
    <row r="137" spans="4:9" x14ac:dyDescent="0.25">
      <c r="D137" s="978" t="s">
        <v>108</v>
      </c>
      <c r="E137" s="978"/>
      <c r="F137" s="977">
        <f t="shared" ref="F137:F141" si="34">C30+G30+K30+C64+G64+K64+C100+G100+K100</f>
        <v>35218000</v>
      </c>
      <c r="G137" s="899"/>
      <c r="H137" s="977">
        <f t="shared" si="33"/>
        <v>24972000</v>
      </c>
      <c r="I137" s="899"/>
    </row>
    <row r="138" spans="4:9" x14ac:dyDescent="0.25">
      <c r="D138" s="978" t="s">
        <v>109</v>
      </c>
      <c r="E138" s="978"/>
      <c r="F138" s="977">
        <f t="shared" si="34"/>
        <v>62256000</v>
      </c>
      <c r="G138" s="899"/>
      <c r="H138" s="977">
        <f t="shared" si="33"/>
        <v>40509908</v>
      </c>
      <c r="I138" s="899"/>
    </row>
    <row r="139" spans="4:9" x14ac:dyDescent="0.25">
      <c r="D139" s="978" t="s">
        <v>110</v>
      </c>
      <c r="E139" s="978"/>
      <c r="F139" s="977">
        <f t="shared" si="34"/>
        <v>58257000</v>
      </c>
      <c r="G139" s="899"/>
      <c r="H139" s="977">
        <f t="shared" si="33"/>
        <v>39302152</v>
      </c>
      <c r="I139" s="899"/>
    </row>
    <row r="140" spans="4:9" x14ac:dyDescent="0.25">
      <c r="D140" s="978" t="s">
        <v>111</v>
      </c>
      <c r="E140" s="978"/>
      <c r="F140" s="977">
        <f t="shared" si="34"/>
        <v>85799000</v>
      </c>
      <c r="G140" s="899"/>
      <c r="H140" s="977">
        <f t="shared" si="33"/>
        <v>61451800</v>
      </c>
      <c r="I140" s="899"/>
    </row>
    <row r="141" spans="4:9" x14ac:dyDescent="0.25">
      <c r="D141" s="978" t="s">
        <v>112</v>
      </c>
      <c r="E141" s="978"/>
      <c r="F141" s="977">
        <f t="shared" si="34"/>
        <v>44833000</v>
      </c>
      <c r="G141" s="899"/>
      <c r="H141" s="977">
        <f t="shared" si="33"/>
        <v>30433300</v>
      </c>
      <c r="I141" s="899"/>
    </row>
    <row r="142" spans="4:9" x14ac:dyDescent="0.25">
      <c r="D142" s="974" t="s">
        <v>399</v>
      </c>
      <c r="E142" s="974"/>
      <c r="F142" s="975">
        <f>SUM(F143:G147)</f>
        <v>217238360</v>
      </c>
      <c r="G142" s="976"/>
      <c r="H142" s="975">
        <f>SUM(H143:I147)</f>
        <v>147066195</v>
      </c>
      <c r="I142" s="976"/>
    </row>
    <row r="143" spans="4:9" ht="17.45" customHeight="1" x14ac:dyDescent="0.25">
      <c r="D143" s="978" t="s">
        <v>113</v>
      </c>
      <c r="E143" s="978"/>
      <c r="F143" s="977">
        <f>C36+G36+K36+C70+G70+K70+C106+G106+K106</f>
        <v>54180360</v>
      </c>
      <c r="G143" s="899"/>
      <c r="H143" s="977">
        <f t="shared" ref="H143:H146" si="35">E36+I36+M36+E70+I70+M70+E106+I106+M106</f>
        <v>38784000</v>
      </c>
      <c r="I143" s="899"/>
    </row>
    <row r="144" spans="4:9" x14ac:dyDescent="0.25">
      <c r="D144" s="978" t="s">
        <v>114</v>
      </c>
      <c r="E144" s="978"/>
      <c r="F144" s="977">
        <f t="shared" ref="F144:F146" si="36">C37+G37+K37+C71+G71+K71+C107+G107+K107</f>
        <v>46793000</v>
      </c>
      <c r="G144" s="899"/>
      <c r="H144" s="977">
        <f t="shared" si="35"/>
        <v>36949200</v>
      </c>
      <c r="I144" s="899"/>
    </row>
    <row r="145" spans="4:9" x14ac:dyDescent="0.25">
      <c r="D145" s="978" t="s">
        <v>115</v>
      </c>
      <c r="E145" s="978"/>
      <c r="F145" s="977">
        <f t="shared" si="36"/>
        <v>24929000</v>
      </c>
      <c r="G145" s="899"/>
      <c r="H145" s="977">
        <f t="shared" si="35"/>
        <v>11583740</v>
      </c>
      <c r="I145" s="899"/>
    </row>
    <row r="146" spans="4:9" x14ac:dyDescent="0.25">
      <c r="D146" s="978" t="s">
        <v>116</v>
      </c>
      <c r="E146" s="978"/>
      <c r="F146" s="977">
        <f t="shared" si="36"/>
        <v>91336000</v>
      </c>
      <c r="G146" s="899"/>
      <c r="H146" s="977">
        <f t="shared" si="35"/>
        <v>59749255</v>
      </c>
      <c r="I146" s="899"/>
    </row>
    <row r="147" spans="4:9" x14ac:dyDescent="0.25">
      <c r="D147" s="981" t="s">
        <v>394</v>
      </c>
      <c r="E147" s="981"/>
      <c r="F147" s="977">
        <f>C110+G110+K110</f>
        <v>0</v>
      </c>
      <c r="G147" s="899"/>
      <c r="H147" s="977">
        <f>I110</f>
        <v>0</v>
      </c>
      <c r="I147" s="899"/>
    </row>
    <row r="148" spans="4:9" x14ac:dyDescent="0.25">
      <c r="D148" s="974" t="s">
        <v>408</v>
      </c>
      <c r="E148" s="974"/>
      <c r="F148" s="975">
        <f>SUM(F149:G155)</f>
        <v>243468000</v>
      </c>
      <c r="G148" s="976"/>
      <c r="H148" s="975">
        <f>SUM(H149:I155)</f>
        <v>167557712</v>
      </c>
      <c r="I148" s="976"/>
    </row>
    <row r="149" spans="4:9" ht="17.45" customHeight="1" x14ac:dyDescent="0.25">
      <c r="D149" s="978" t="s">
        <v>344</v>
      </c>
      <c r="E149" s="978"/>
      <c r="F149" s="977">
        <f>C41+G41+K41+C75+G75+K75+C112+G112+K112</f>
        <v>243468000</v>
      </c>
      <c r="G149" s="899"/>
      <c r="H149" s="977">
        <f>E41+I41+M41+E75+I75+M75+E112+I112+M112</f>
        <v>167557712</v>
      </c>
      <c r="I149" s="899"/>
    </row>
    <row r="150" spans="4:9" x14ac:dyDescent="0.25">
      <c r="D150" s="974" t="s">
        <v>423</v>
      </c>
      <c r="E150" s="974"/>
      <c r="F150" s="975"/>
      <c r="G150" s="976"/>
      <c r="H150" s="975">
        <f>SUM(M76)</f>
        <v>0</v>
      </c>
      <c r="I150" s="976"/>
    </row>
  </sheetData>
  <mergeCells count="138">
    <mergeCell ref="A1:M1"/>
    <mergeCell ref="A2:M2"/>
    <mergeCell ref="A3:M3"/>
    <mergeCell ref="A5:M5"/>
    <mergeCell ref="A6:M6"/>
    <mergeCell ref="A9:A11"/>
    <mergeCell ref="B9:E9"/>
    <mergeCell ref="F9:I9"/>
    <mergeCell ref="J9:M9"/>
    <mergeCell ref="B10:C10"/>
    <mergeCell ref="D10:E10"/>
    <mergeCell ref="F10:G10"/>
    <mergeCell ref="H10:I10"/>
    <mergeCell ref="J10:K10"/>
    <mergeCell ref="L10:M10"/>
    <mergeCell ref="D121:E121"/>
    <mergeCell ref="D122:E122"/>
    <mergeCell ref="D123:E123"/>
    <mergeCell ref="J79:K79"/>
    <mergeCell ref="L79:M79"/>
    <mergeCell ref="D115:E117"/>
    <mergeCell ref="A43:A45"/>
    <mergeCell ref="B43:E43"/>
    <mergeCell ref="F43:I43"/>
    <mergeCell ref="J43:M43"/>
    <mergeCell ref="B44:C44"/>
    <mergeCell ref="A78:A80"/>
    <mergeCell ref="B78:E78"/>
    <mergeCell ref="F78:I78"/>
    <mergeCell ref="B79:C79"/>
    <mergeCell ref="D79:E79"/>
    <mergeCell ref="F79:G79"/>
    <mergeCell ref="H79:I79"/>
    <mergeCell ref="J78:M78"/>
    <mergeCell ref="D44:E44"/>
    <mergeCell ref="F44:G44"/>
    <mergeCell ref="H44:I44"/>
    <mergeCell ref="J44:K44"/>
    <mergeCell ref="L44:M44"/>
    <mergeCell ref="D143:E143"/>
    <mergeCell ref="D144:E144"/>
    <mergeCell ref="D145:E145"/>
    <mergeCell ref="D146:E146"/>
    <mergeCell ref="D147:E147"/>
    <mergeCell ref="D136:E136"/>
    <mergeCell ref="D137:E137"/>
    <mergeCell ref="D138:E138"/>
    <mergeCell ref="D139:E139"/>
    <mergeCell ref="D140:E140"/>
    <mergeCell ref="D141:E141"/>
    <mergeCell ref="F115:I115"/>
    <mergeCell ref="F116:G117"/>
    <mergeCell ref="H116:I117"/>
    <mergeCell ref="F118:G118"/>
    <mergeCell ref="H118:I118"/>
    <mergeCell ref="F119:G119"/>
    <mergeCell ref="H119:I119"/>
    <mergeCell ref="F120:G120"/>
    <mergeCell ref="D142:E142"/>
    <mergeCell ref="D130:E130"/>
    <mergeCell ref="D131:E131"/>
    <mergeCell ref="D132:E132"/>
    <mergeCell ref="D133:E133"/>
    <mergeCell ref="D134:E134"/>
    <mergeCell ref="D135:E135"/>
    <mergeCell ref="D124:E124"/>
    <mergeCell ref="D125:E125"/>
    <mergeCell ref="D126:E126"/>
    <mergeCell ref="D127:E127"/>
    <mergeCell ref="D128:E128"/>
    <mergeCell ref="D129:E129"/>
    <mergeCell ref="D118:E118"/>
    <mergeCell ref="D119:E119"/>
    <mergeCell ref="D120:E120"/>
    <mergeCell ref="F124:G124"/>
    <mergeCell ref="H124:I124"/>
    <mergeCell ref="F125:G125"/>
    <mergeCell ref="H125:I125"/>
    <mergeCell ref="F126:G126"/>
    <mergeCell ref="H126:I126"/>
    <mergeCell ref="H120:I120"/>
    <mergeCell ref="F121:G121"/>
    <mergeCell ref="H121:I121"/>
    <mergeCell ref="F122:G122"/>
    <mergeCell ref="H122:I122"/>
    <mergeCell ref="F123:G123"/>
    <mergeCell ref="H123:I123"/>
    <mergeCell ref="F130:G130"/>
    <mergeCell ref="H130:I130"/>
    <mergeCell ref="F131:G131"/>
    <mergeCell ref="H131:I131"/>
    <mergeCell ref="F132:G132"/>
    <mergeCell ref="H132:I132"/>
    <mergeCell ref="F127:G127"/>
    <mergeCell ref="H127:I127"/>
    <mergeCell ref="F128:G128"/>
    <mergeCell ref="H128:I128"/>
    <mergeCell ref="F129:G129"/>
    <mergeCell ref="H129:I129"/>
    <mergeCell ref="F136:G136"/>
    <mergeCell ref="H136:I136"/>
    <mergeCell ref="F137:G137"/>
    <mergeCell ref="H137:I137"/>
    <mergeCell ref="F138:G138"/>
    <mergeCell ref="H138:I138"/>
    <mergeCell ref="F133:G133"/>
    <mergeCell ref="H133:I133"/>
    <mergeCell ref="F134:G134"/>
    <mergeCell ref="H134:I134"/>
    <mergeCell ref="F135:G135"/>
    <mergeCell ref="H135:I135"/>
    <mergeCell ref="F142:G142"/>
    <mergeCell ref="H142:I142"/>
    <mergeCell ref="F143:G143"/>
    <mergeCell ref="H143:I143"/>
    <mergeCell ref="F144:G144"/>
    <mergeCell ref="H144:I144"/>
    <mergeCell ref="F139:G139"/>
    <mergeCell ref="H139:I139"/>
    <mergeCell ref="F140:G140"/>
    <mergeCell ref="H140:I140"/>
    <mergeCell ref="F141:G141"/>
    <mergeCell ref="H141:I141"/>
    <mergeCell ref="D150:E150"/>
    <mergeCell ref="F150:G150"/>
    <mergeCell ref="H150:I150"/>
    <mergeCell ref="F148:G148"/>
    <mergeCell ref="H148:I148"/>
    <mergeCell ref="F149:G149"/>
    <mergeCell ref="H149:I149"/>
    <mergeCell ref="F145:G145"/>
    <mergeCell ref="H145:I145"/>
    <mergeCell ref="F146:G146"/>
    <mergeCell ref="H146:I146"/>
    <mergeCell ref="F147:G147"/>
    <mergeCell ref="H147:I147"/>
    <mergeCell ref="D148:E148"/>
    <mergeCell ref="D149:E149"/>
  </mergeCells>
  <pageMargins left="0.62" right="0.15748031496063" top="0.62" bottom="0.61" header="0.53" footer="0.31496062992126"/>
  <pageSetup paperSize="9" scale="70" orientation="landscape" r:id="rId1"/>
  <headerFooter>
    <oddFooter>&amp;LPrograms/Projects Implemented
in the Province of Bulacan&amp;CPage &amp;P of &amp;N</oddFooter>
  </headerFooter>
  <rowBreaks count="3" manualBreakCount="3">
    <brk id="42" max="12" man="1"/>
    <brk id="77" max="12" man="1"/>
    <brk id="114"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41"/>
  <sheetViews>
    <sheetView view="pageBreakPreview" zoomScale="80" zoomScaleNormal="80" zoomScaleSheetLayoutView="80" workbookViewId="0">
      <selection activeCell="L30" sqref="L30"/>
    </sheetView>
  </sheetViews>
  <sheetFormatPr defaultRowHeight="15" x14ac:dyDescent="0.25"/>
  <cols>
    <col min="1" max="1" width="14.28515625" customWidth="1"/>
    <col min="2" max="2" width="11.42578125" customWidth="1"/>
    <col min="3" max="3" width="17.140625" style="97" customWidth="1"/>
    <col min="4" max="4" width="12" style="97" customWidth="1"/>
    <col min="5" max="5" width="19" style="97" customWidth="1"/>
    <col min="6" max="6" width="9.5703125" customWidth="1"/>
    <col min="7" max="7" width="14.85546875" customWidth="1"/>
    <col min="8" max="8" width="11" customWidth="1"/>
    <col min="9" max="9" width="14.7109375" style="97" customWidth="1"/>
    <col min="10" max="10" width="11.5703125" customWidth="1"/>
    <col min="11" max="11" width="14.5703125" style="97" customWidth="1"/>
    <col min="12" max="12" width="11.42578125" customWidth="1"/>
    <col min="13" max="13" width="17.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75" x14ac:dyDescent="0.3">
      <c r="A5" s="911" t="s">
        <v>334</v>
      </c>
      <c r="B5" s="911"/>
      <c r="C5" s="911"/>
      <c r="D5" s="911"/>
      <c r="E5" s="911"/>
      <c r="F5" s="911"/>
      <c r="G5" s="911"/>
      <c r="H5" s="911"/>
      <c r="I5" s="911"/>
      <c r="J5" s="911"/>
      <c r="K5" s="911"/>
      <c r="L5" s="911"/>
      <c r="M5" s="911"/>
    </row>
    <row r="6" spans="1:13" ht="18" customHeight="1" x14ac:dyDescent="0.25">
      <c r="A6" s="912" t="str">
        <f>Summary2015!A6</f>
        <v>JANUARY TO DECEMBER 2015</v>
      </c>
      <c r="B6" s="912"/>
      <c r="C6" s="912"/>
      <c r="D6" s="912"/>
      <c r="E6" s="912"/>
      <c r="F6" s="912"/>
      <c r="G6" s="912"/>
      <c r="H6" s="912"/>
      <c r="I6" s="912"/>
      <c r="J6" s="912"/>
      <c r="K6" s="912"/>
      <c r="L6" s="912"/>
      <c r="M6" s="912"/>
    </row>
    <row r="7" spans="1:13" ht="18.75" x14ac:dyDescent="0.3">
      <c r="A7" s="487"/>
      <c r="B7" s="487"/>
      <c r="C7" s="487"/>
      <c r="D7" s="487"/>
      <c r="E7" s="487"/>
      <c r="F7" s="487"/>
      <c r="G7" s="487"/>
      <c r="H7" s="487"/>
      <c r="I7" s="487"/>
      <c r="J7" s="487"/>
      <c r="K7" s="487"/>
      <c r="L7" s="487"/>
      <c r="M7" s="487"/>
    </row>
    <row r="8" spans="1:13" s="489" customFormat="1" ht="18.75" x14ac:dyDescent="0.3">
      <c r="A8" s="489" t="s">
        <v>338</v>
      </c>
      <c r="C8" s="490"/>
      <c r="E8" s="490"/>
      <c r="G8" s="490"/>
      <c r="I8" s="490"/>
      <c r="K8" s="490"/>
    </row>
    <row r="9" spans="1:13" s="435" customFormat="1" ht="31.5" customHeight="1" x14ac:dyDescent="0.25">
      <c r="A9" s="906" t="s">
        <v>3</v>
      </c>
      <c r="B9" s="988" t="s">
        <v>5</v>
      </c>
      <c r="C9" s="989"/>
      <c r="D9" s="989"/>
      <c r="E9" s="990"/>
      <c r="F9" s="988" t="s">
        <v>7</v>
      </c>
      <c r="G9" s="989"/>
      <c r="H9" s="989"/>
      <c r="I9" s="990"/>
      <c r="J9" s="988" t="s">
        <v>306</v>
      </c>
      <c r="K9" s="989"/>
      <c r="L9" s="989"/>
      <c r="M9" s="990"/>
    </row>
    <row r="10" spans="1:13" ht="20.2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83" t="s">
        <v>307</v>
      </c>
      <c r="C11" s="476" t="s">
        <v>60</v>
      </c>
      <c r="D11" s="483" t="s">
        <v>307</v>
      </c>
      <c r="E11" s="17" t="s">
        <v>305</v>
      </c>
      <c r="F11" s="483" t="s">
        <v>308</v>
      </c>
      <c r="G11" s="482" t="s">
        <v>60</v>
      </c>
      <c r="H11" s="483" t="s">
        <v>308</v>
      </c>
      <c r="I11" s="17" t="s">
        <v>305</v>
      </c>
      <c r="J11" s="483" t="s">
        <v>309</v>
      </c>
      <c r="K11" s="476" t="s">
        <v>60</v>
      </c>
      <c r="L11" s="483" t="s">
        <v>309</v>
      </c>
      <c r="M11" s="476" t="s">
        <v>305</v>
      </c>
    </row>
    <row r="12" spans="1:13" x14ac:dyDescent="0.25">
      <c r="A12" s="349" t="s">
        <v>81</v>
      </c>
      <c r="B12" s="477">
        <f t="shared" ref="B12:M12" si="0">SUM(B13:B18)</f>
        <v>12900</v>
      </c>
      <c r="C12" s="351">
        <f t="shared" si="0"/>
        <v>193500000</v>
      </c>
      <c r="D12" s="477">
        <f t="shared" si="0"/>
        <v>14294</v>
      </c>
      <c r="E12" s="646">
        <f t="shared" si="0"/>
        <v>147645300</v>
      </c>
      <c r="F12" s="477">
        <f t="shared" si="0"/>
        <v>2009</v>
      </c>
      <c r="G12" s="351">
        <f t="shared" si="0"/>
        <v>20090000</v>
      </c>
      <c r="H12" s="477">
        <f t="shared" si="0"/>
        <v>357</v>
      </c>
      <c r="I12" s="351">
        <f t="shared" si="0"/>
        <v>2095000</v>
      </c>
      <c r="J12" s="477">
        <f t="shared" si="0"/>
        <v>9000</v>
      </c>
      <c r="K12" s="351">
        <f t="shared" si="0"/>
        <v>14040000</v>
      </c>
      <c r="L12" s="350">
        <f t="shared" si="0"/>
        <v>9807</v>
      </c>
      <c r="M12" s="351">
        <f t="shared" si="0"/>
        <v>11135494</v>
      </c>
    </row>
    <row r="13" spans="1:13" x14ac:dyDescent="0.25">
      <c r="A13" s="83" t="s">
        <v>91</v>
      </c>
      <c r="B13" s="726">
        <v>1702</v>
      </c>
      <c r="C13" s="442">
        <f t="shared" ref="C13:C18" si="1">B13*15000</f>
        <v>25530000</v>
      </c>
      <c r="D13" s="769">
        <v>1762</v>
      </c>
      <c r="E13" s="769">
        <v>18072800</v>
      </c>
      <c r="F13" s="30">
        <v>230</v>
      </c>
      <c r="G13" s="384">
        <f>F13*10000</f>
        <v>2300000</v>
      </c>
      <c r="H13" s="743">
        <v>30</v>
      </c>
      <c r="I13" s="744">
        <v>150000</v>
      </c>
      <c r="J13" s="723">
        <v>1300</v>
      </c>
      <c r="K13" s="730">
        <f>J13*1560</f>
        <v>2028000</v>
      </c>
      <c r="L13" s="345">
        <v>1311</v>
      </c>
      <c r="M13" s="344">
        <v>1533870</v>
      </c>
    </row>
    <row r="14" spans="1:13" x14ac:dyDescent="0.25">
      <c r="A14" s="83" t="s">
        <v>92</v>
      </c>
      <c r="B14" s="726">
        <v>1849</v>
      </c>
      <c r="C14" s="442">
        <f t="shared" si="1"/>
        <v>27735000</v>
      </c>
      <c r="D14" s="769">
        <v>2344</v>
      </c>
      <c r="E14" s="769">
        <v>25604500</v>
      </c>
      <c r="F14" s="30">
        <v>685</v>
      </c>
      <c r="G14" s="384">
        <f t="shared" ref="G14:G18" si="2">F14*10000</f>
        <v>6850000</v>
      </c>
      <c r="H14" s="743">
        <v>83</v>
      </c>
      <c r="I14" s="744">
        <v>540000</v>
      </c>
      <c r="J14" s="723">
        <v>1300</v>
      </c>
      <c r="K14" s="730">
        <f t="shared" ref="K14:K18" si="3">J14*1560</f>
        <v>2028000</v>
      </c>
      <c r="L14" s="345">
        <v>1417</v>
      </c>
      <c r="M14" s="344">
        <v>921050</v>
      </c>
    </row>
    <row r="15" spans="1:13" s="343" customFormat="1" ht="31.5" customHeight="1" x14ac:dyDescent="0.25">
      <c r="A15" s="238" t="s">
        <v>93</v>
      </c>
      <c r="B15" s="726">
        <v>3275</v>
      </c>
      <c r="C15" s="442">
        <f t="shared" si="1"/>
        <v>49125000</v>
      </c>
      <c r="D15" s="769">
        <v>3319</v>
      </c>
      <c r="E15" s="769">
        <v>34096000</v>
      </c>
      <c r="F15" s="30">
        <v>300</v>
      </c>
      <c r="G15" s="384">
        <f t="shared" si="2"/>
        <v>3000000</v>
      </c>
      <c r="H15" s="743">
        <v>89</v>
      </c>
      <c r="I15" s="744">
        <v>610000</v>
      </c>
      <c r="J15" s="723">
        <v>3000</v>
      </c>
      <c r="K15" s="730">
        <f t="shared" si="3"/>
        <v>4680000</v>
      </c>
      <c r="L15" s="640">
        <v>3583</v>
      </c>
      <c r="M15" s="641">
        <v>5656553</v>
      </c>
    </row>
    <row r="16" spans="1:13" x14ac:dyDescent="0.25">
      <c r="A16" s="83" t="s">
        <v>94</v>
      </c>
      <c r="B16" s="726">
        <v>2632</v>
      </c>
      <c r="C16" s="442">
        <f t="shared" si="1"/>
        <v>39480000</v>
      </c>
      <c r="D16" s="769">
        <v>3371</v>
      </c>
      <c r="E16" s="769">
        <v>33497100</v>
      </c>
      <c r="F16" s="30">
        <v>376</v>
      </c>
      <c r="G16" s="384">
        <f t="shared" si="2"/>
        <v>3760000</v>
      </c>
      <c r="H16" s="743">
        <v>4</v>
      </c>
      <c r="I16" s="744">
        <v>35000</v>
      </c>
      <c r="J16" s="723">
        <v>2000</v>
      </c>
      <c r="K16" s="730">
        <f t="shared" si="3"/>
        <v>3120000</v>
      </c>
      <c r="L16" s="345">
        <v>1995</v>
      </c>
      <c r="M16" s="344">
        <v>2204475</v>
      </c>
    </row>
    <row r="17" spans="1:13" x14ac:dyDescent="0.25">
      <c r="A17" s="83" t="s">
        <v>95</v>
      </c>
      <c r="B17" s="726">
        <v>1307</v>
      </c>
      <c r="C17" s="442">
        <f t="shared" si="1"/>
        <v>19605000</v>
      </c>
      <c r="D17" s="769">
        <v>1392</v>
      </c>
      <c r="E17" s="769">
        <v>14534600</v>
      </c>
      <c r="F17" s="30"/>
      <c r="G17" s="384">
        <f t="shared" si="2"/>
        <v>0</v>
      </c>
      <c r="H17" s="743">
        <v>1</v>
      </c>
      <c r="I17" s="744">
        <v>10000</v>
      </c>
      <c r="J17" s="723"/>
      <c r="K17" s="730">
        <f t="shared" si="3"/>
        <v>0</v>
      </c>
      <c r="L17" s="345"/>
      <c r="M17" s="344"/>
    </row>
    <row r="18" spans="1:13" x14ac:dyDescent="0.25">
      <c r="A18" s="83" t="s">
        <v>96</v>
      </c>
      <c r="B18" s="726">
        <v>2135</v>
      </c>
      <c r="C18" s="442">
        <f t="shared" si="1"/>
        <v>32025000</v>
      </c>
      <c r="D18" s="769">
        <v>2106</v>
      </c>
      <c r="E18" s="769">
        <v>21840300</v>
      </c>
      <c r="F18" s="30">
        <v>418</v>
      </c>
      <c r="G18" s="384">
        <f t="shared" si="2"/>
        <v>4180000</v>
      </c>
      <c r="H18" s="30">
        <v>150</v>
      </c>
      <c r="I18" s="384">
        <v>750000</v>
      </c>
      <c r="J18" s="723">
        <v>1400</v>
      </c>
      <c r="K18" s="730">
        <f t="shared" si="3"/>
        <v>2184000</v>
      </c>
      <c r="L18" s="345">
        <v>1501</v>
      </c>
      <c r="M18" s="344">
        <v>819546</v>
      </c>
    </row>
    <row r="20" spans="1:13" s="435" customFormat="1" ht="20.25" customHeight="1" x14ac:dyDescent="0.25">
      <c r="A20" s="906" t="s">
        <v>377</v>
      </c>
      <c r="B20" s="988" t="s">
        <v>16</v>
      </c>
      <c r="C20" s="989"/>
      <c r="D20" s="989"/>
      <c r="E20" s="990"/>
      <c r="F20" s="913" t="s">
        <v>421</v>
      </c>
      <c r="G20" s="914"/>
      <c r="H20" s="914"/>
      <c r="I20" s="915"/>
      <c r="J20" s="988" t="s">
        <v>329</v>
      </c>
      <c r="K20" s="989"/>
      <c r="L20" s="989"/>
      <c r="M20" s="990"/>
    </row>
    <row r="21" spans="1:13" ht="18.75" customHeight="1" x14ac:dyDescent="0.25">
      <c r="A21" s="906"/>
      <c r="B21" s="899" t="s">
        <v>327</v>
      </c>
      <c r="C21" s="899"/>
      <c r="D21" s="900" t="s">
        <v>333</v>
      </c>
      <c r="E21" s="901"/>
      <c r="F21" s="899" t="s">
        <v>327</v>
      </c>
      <c r="G21" s="899"/>
      <c r="H21" s="900" t="s">
        <v>333</v>
      </c>
      <c r="I21" s="901"/>
      <c r="J21" s="899" t="s">
        <v>327</v>
      </c>
      <c r="K21" s="899"/>
      <c r="L21" s="900" t="s">
        <v>333</v>
      </c>
      <c r="M21" s="901"/>
    </row>
    <row r="22" spans="1:13" ht="45" customHeight="1" x14ac:dyDescent="0.25">
      <c r="A22" s="906"/>
      <c r="B22" s="483" t="s">
        <v>330</v>
      </c>
      <c r="C22" s="476" t="s">
        <v>60</v>
      </c>
      <c r="D22" s="483" t="s">
        <v>330</v>
      </c>
      <c r="E22" s="17" t="s">
        <v>305</v>
      </c>
      <c r="F22" s="483" t="s">
        <v>253</v>
      </c>
      <c r="G22" s="482" t="s">
        <v>60</v>
      </c>
      <c r="H22" s="483" t="s">
        <v>253</v>
      </c>
      <c r="I22" s="17" t="s">
        <v>305</v>
      </c>
      <c r="J22" s="483" t="s">
        <v>310</v>
      </c>
      <c r="K22" s="476" t="s">
        <v>60</v>
      </c>
      <c r="L22" s="483" t="s">
        <v>310</v>
      </c>
      <c r="M22" s="17" t="s">
        <v>305</v>
      </c>
    </row>
    <row r="23" spans="1:13" x14ac:dyDescent="0.25">
      <c r="A23" s="349" t="s">
        <v>81</v>
      </c>
      <c r="B23" s="477">
        <f t="shared" ref="B23:M23" si="4">SUM(B24:B29)</f>
        <v>2178</v>
      </c>
      <c r="C23" s="351">
        <f t="shared" si="4"/>
        <v>13068000</v>
      </c>
      <c r="D23" s="477">
        <f t="shared" si="4"/>
        <v>3301</v>
      </c>
      <c r="E23" s="351">
        <f t="shared" si="4"/>
        <v>19806000</v>
      </c>
      <c r="F23" s="477">
        <f t="shared" si="4"/>
        <v>12</v>
      </c>
      <c r="G23" s="351">
        <f t="shared" si="4"/>
        <v>19434285.699999999</v>
      </c>
      <c r="H23" s="477">
        <f t="shared" si="4"/>
        <v>0</v>
      </c>
      <c r="I23" s="351">
        <f t="shared" si="4"/>
        <v>0</v>
      </c>
      <c r="J23" s="477">
        <f t="shared" si="4"/>
        <v>0</v>
      </c>
      <c r="K23" s="351">
        <f t="shared" si="4"/>
        <v>0</v>
      </c>
      <c r="L23" s="350">
        <f t="shared" si="4"/>
        <v>2973</v>
      </c>
      <c r="M23" s="351">
        <f t="shared" si="4"/>
        <v>9862200</v>
      </c>
    </row>
    <row r="24" spans="1:13" x14ac:dyDescent="0.25">
      <c r="A24" s="83" t="s">
        <v>91</v>
      </c>
      <c r="B24" s="688">
        <v>381</v>
      </c>
      <c r="C24" s="730">
        <f t="shared" ref="C24:C29" si="5">B24*500*12</f>
        <v>2286000</v>
      </c>
      <c r="D24" s="769">
        <v>702</v>
      </c>
      <c r="E24" s="769">
        <f>D24*6000</f>
        <v>4212000</v>
      </c>
      <c r="F24" s="30">
        <f>1+1</f>
        <v>2</v>
      </c>
      <c r="G24" s="384">
        <f>800000+1800000</f>
        <v>2600000</v>
      </c>
      <c r="H24" s="30"/>
      <c r="I24" s="384"/>
      <c r="J24" s="478"/>
      <c r="K24" s="386"/>
      <c r="L24" s="739">
        <v>336</v>
      </c>
      <c r="M24" s="740">
        <v>1196500</v>
      </c>
    </row>
    <row r="25" spans="1:13" x14ac:dyDescent="0.25">
      <c r="A25" s="83" t="s">
        <v>92</v>
      </c>
      <c r="B25" s="688">
        <v>333</v>
      </c>
      <c r="C25" s="730">
        <f t="shared" si="5"/>
        <v>1998000</v>
      </c>
      <c r="D25" s="769">
        <v>314</v>
      </c>
      <c r="E25" s="769">
        <f t="shared" ref="E25:E29" si="6">D25*6000</f>
        <v>1884000</v>
      </c>
      <c r="F25" s="30">
        <v>2</v>
      </c>
      <c r="G25" s="384">
        <f>3000000+4000000</f>
        <v>7000000</v>
      </c>
      <c r="H25" s="30"/>
      <c r="I25" s="384"/>
      <c r="J25" s="478"/>
      <c r="K25" s="386"/>
      <c r="L25" s="739">
        <v>399</v>
      </c>
      <c r="M25" s="740">
        <v>1456700</v>
      </c>
    </row>
    <row r="26" spans="1:13" s="343" customFormat="1" ht="30.75" customHeight="1" x14ac:dyDescent="0.25">
      <c r="A26" s="238" t="s">
        <v>93</v>
      </c>
      <c r="B26" s="688">
        <v>389</v>
      </c>
      <c r="C26" s="730">
        <f t="shared" si="5"/>
        <v>2334000</v>
      </c>
      <c r="D26" s="769">
        <v>340</v>
      </c>
      <c r="E26" s="769">
        <f t="shared" si="6"/>
        <v>2040000</v>
      </c>
      <c r="F26" s="30">
        <v>3</v>
      </c>
      <c r="G26" s="384">
        <v>3964285.7</v>
      </c>
      <c r="H26" s="30"/>
      <c r="I26" s="384"/>
      <c r="J26" s="478"/>
      <c r="K26" s="386"/>
      <c r="L26" s="739">
        <v>637</v>
      </c>
      <c r="M26" s="740">
        <v>2458700</v>
      </c>
    </row>
    <row r="27" spans="1:13" x14ac:dyDescent="0.25">
      <c r="A27" s="83" t="s">
        <v>94</v>
      </c>
      <c r="B27" s="688">
        <v>404</v>
      </c>
      <c r="C27" s="730">
        <f t="shared" si="5"/>
        <v>2424000</v>
      </c>
      <c r="D27" s="769">
        <v>801</v>
      </c>
      <c r="E27" s="769">
        <f t="shared" si="6"/>
        <v>4806000</v>
      </c>
      <c r="F27" s="30">
        <v>1</v>
      </c>
      <c r="G27" s="384">
        <v>1520000</v>
      </c>
      <c r="H27" s="30"/>
      <c r="I27" s="384"/>
      <c r="J27" s="478"/>
      <c r="K27" s="386"/>
      <c r="L27" s="739">
        <v>1170</v>
      </c>
      <c r="M27" s="740">
        <v>3152800</v>
      </c>
    </row>
    <row r="28" spans="1:13" x14ac:dyDescent="0.25">
      <c r="A28" s="83" t="s">
        <v>95</v>
      </c>
      <c r="B28" s="688">
        <v>330</v>
      </c>
      <c r="C28" s="730">
        <f t="shared" si="5"/>
        <v>1980000</v>
      </c>
      <c r="D28" s="769">
        <v>626</v>
      </c>
      <c r="E28" s="769">
        <f t="shared" si="6"/>
        <v>3756000</v>
      </c>
      <c r="F28" s="30">
        <v>2</v>
      </c>
      <c r="G28" s="384">
        <v>2250000</v>
      </c>
      <c r="H28" s="30"/>
      <c r="I28" s="384"/>
      <c r="J28" s="478"/>
      <c r="K28" s="386"/>
      <c r="L28" s="739">
        <v>289</v>
      </c>
      <c r="M28" s="740">
        <v>964500</v>
      </c>
    </row>
    <row r="29" spans="1:13" x14ac:dyDescent="0.25">
      <c r="A29" s="83" t="s">
        <v>96</v>
      </c>
      <c r="B29" s="688">
        <v>341</v>
      </c>
      <c r="C29" s="730">
        <f t="shared" si="5"/>
        <v>2046000</v>
      </c>
      <c r="D29" s="769">
        <v>518</v>
      </c>
      <c r="E29" s="769">
        <f t="shared" si="6"/>
        <v>3108000</v>
      </c>
      <c r="F29" s="30">
        <f>2</f>
        <v>2</v>
      </c>
      <c r="G29" s="384">
        <f>2000000+100000</f>
        <v>2100000</v>
      </c>
      <c r="H29" s="30"/>
      <c r="I29" s="384"/>
      <c r="J29" s="478"/>
      <c r="K29" s="386"/>
      <c r="L29" s="739">
        <v>142</v>
      </c>
      <c r="M29" s="740">
        <v>633000</v>
      </c>
    </row>
    <row r="31" spans="1:13" s="435" customFormat="1" ht="31.5" customHeight="1" x14ac:dyDescent="0.25">
      <c r="A31" s="906" t="s">
        <v>3</v>
      </c>
      <c r="B31" s="988" t="s">
        <v>331</v>
      </c>
      <c r="C31" s="989"/>
      <c r="D31" s="989"/>
      <c r="E31" s="990"/>
      <c r="F31" s="988" t="s">
        <v>392</v>
      </c>
      <c r="G31" s="989"/>
      <c r="H31" s="989"/>
      <c r="I31" s="990"/>
      <c r="J31" s="928" t="s">
        <v>81</v>
      </c>
      <c r="K31" s="928"/>
      <c r="L31" s="928"/>
      <c r="M31" s="928"/>
    </row>
    <row r="32" spans="1:13" ht="24.75" customHeight="1" x14ac:dyDescent="0.25">
      <c r="A32" s="906"/>
      <c r="B32" s="899" t="s">
        <v>327</v>
      </c>
      <c r="C32" s="899"/>
      <c r="D32" s="900" t="s">
        <v>333</v>
      </c>
      <c r="E32" s="901"/>
      <c r="F32" s="899" t="s">
        <v>327</v>
      </c>
      <c r="G32" s="899"/>
      <c r="H32" s="900" t="s">
        <v>333</v>
      </c>
      <c r="I32" s="901"/>
      <c r="J32" s="899" t="s">
        <v>60</v>
      </c>
      <c r="K32" s="899"/>
      <c r="L32" s="899" t="s">
        <v>305</v>
      </c>
      <c r="M32" s="899"/>
    </row>
    <row r="33" spans="1:13" ht="45" customHeight="1" x14ac:dyDescent="0.25">
      <c r="A33" s="906"/>
      <c r="B33" s="483" t="s">
        <v>308</v>
      </c>
      <c r="C33" s="476" t="s">
        <v>60</v>
      </c>
      <c r="D33" s="483" t="s">
        <v>332</v>
      </c>
      <c r="E33" s="17" t="s">
        <v>305</v>
      </c>
      <c r="F33" s="567" t="s">
        <v>308</v>
      </c>
      <c r="G33" s="476" t="s">
        <v>60</v>
      </c>
      <c r="H33" s="567" t="s">
        <v>332</v>
      </c>
      <c r="I33" s="17" t="s">
        <v>305</v>
      </c>
      <c r="J33" s="899"/>
      <c r="K33" s="899"/>
      <c r="L33" s="899"/>
      <c r="M33" s="899"/>
    </row>
    <row r="34" spans="1:13" ht="14.45" customHeight="1" x14ac:dyDescent="0.25">
      <c r="A34" s="349" t="s">
        <v>81</v>
      </c>
      <c r="B34" s="477">
        <f t="shared" ref="B34:G34" si="7">SUM(B35:B40)</f>
        <v>0</v>
      </c>
      <c r="C34" s="351">
        <f t="shared" si="7"/>
        <v>0</v>
      </c>
      <c r="D34" s="477">
        <f t="shared" si="7"/>
        <v>1</v>
      </c>
      <c r="E34" s="351">
        <f t="shared" si="7"/>
        <v>100</v>
      </c>
      <c r="F34" s="477">
        <f t="shared" si="7"/>
        <v>0</v>
      </c>
      <c r="G34" s="351">
        <f t="shared" si="7"/>
        <v>0</v>
      </c>
      <c r="H34" s="477">
        <f>SUM(H35:H41)</f>
        <v>0</v>
      </c>
      <c r="I34" s="351">
        <f>SUM(I35:I41)</f>
        <v>0</v>
      </c>
      <c r="J34" s="987">
        <f>SUM(J35:J40)</f>
        <v>260132285.69999999</v>
      </c>
      <c r="K34" s="987"/>
      <c r="L34" s="987">
        <f>SUM(I34,E34,M23,I23,E23,M12,I12,E12)</f>
        <v>190544094</v>
      </c>
      <c r="M34" s="987"/>
    </row>
    <row r="35" spans="1:13" ht="14.45" customHeight="1" x14ac:dyDescent="0.25">
      <c r="A35" s="83" t="s">
        <v>91</v>
      </c>
      <c r="B35" s="483"/>
      <c r="C35" s="17"/>
      <c r="D35" s="739"/>
      <c r="E35" s="740"/>
      <c r="F35" s="567"/>
      <c r="G35" s="17"/>
      <c r="H35" s="5"/>
      <c r="I35" s="17"/>
      <c r="J35" s="961">
        <f>C13+G13+K13+C24+G24+K24+C35+G35</f>
        <v>34744000</v>
      </c>
      <c r="K35" s="961"/>
      <c r="L35" s="961">
        <f>E13+I13+M13+E24+I24+M24+E35+I35</f>
        <v>25165170</v>
      </c>
      <c r="M35" s="961"/>
    </row>
    <row r="36" spans="1:13" ht="14.45" customHeight="1" x14ac:dyDescent="0.25">
      <c r="A36" s="83" t="s">
        <v>92</v>
      </c>
      <c r="B36" s="483"/>
      <c r="C36" s="17"/>
      <c r="D36" s="739"/>
      <c r="E36" s="740"/>
      <c r="F36" s="567"/>
      <c r="G36" s="17"/>
      <c r="H36" s="20"/>
      <c r="I36" s="17"/>
      <c r="J36" s="961">
        <f t="shared" ref="J36:J41" si="8">C14+G14+K14+C25+G25+K25+C36+G36</f>
        <v>45611000</v>
      </c>
      <c r="K36" s="961"/>
      <c r="L36" s="961">
        <f t="shared" ref="L36:L41" si="9">E14+I14+M14+E25+I25+M25+E36+I36</f>
        <v>30406250</v>
      </c>
      <c r="M36" s="961"/>
    </row>
    <row r="37" spans="1:13" ht="28.5" customHeight="1" x14ac:dyDescent="0.25">
      <c r="A37" s="83" t="s">
        <v>93</v>
      </c>
      <c r="B37" s="483"/>
      <c r="C37" s="17"/>
      <c r="D37" s="739">
        <v>1</v>
      </c>
      <c r="E37" s="740">
        <v>100</v>
      </c>
      <c r="F37" s="567"/>
      <c r="G37" s="17"/>
      <c r="H37" s="20"/>
      <c r="I37" s="17"/>
      <c r="J37" s="961">
        <f t="shared" si="8"/>
        <v>63103285.700000003</v>
      </c>
      <c r="K37" s="961"/>
      <c r="L37" s="961">
        <f t="shared" si="9"/>
        <v>44861353</v>
      </c>
      <c r="M37" s="961"/>
    </row>
    <row r="38" spans="1:13" ht="14.45" customHeight="1" x14ac:dyDescent="0.25">
      <c r="A38" s="83" t="s">
        <v>94</v>
      </c>
      <c r="B38" s="483"/>
      <c r="C38" s="17"/>
      <c r="D38" s="739"/>
      <c r="E38" s="740"/>
      <c r="F38" s="567"/>
      <c r="G38" s="17"/>
      <c r="H38" s="20"/>
      <c r="I38" s="17"/>
      <c r="J38" s="961">
        <f t="shared" si="8"/>
        <v>50304000</v>
      </c>
      <c r="K38" s="961"/>
      <c r="L38" s="961">
        <f t="shared" si="9"/>
        <v>43695375</v>
      </c>
      <c r="M38" s="961"/>
    </row>
    <row r="39" spans="1:13" ht="14.45" customHeight="1" x14ac:dyDescent="0.25">
      <c r="A39" s="83" t="s">
        <v>95</v>
      </c>
      <c r="B39" s="483"/>
      <c r="C39" s="17"/>
      <c r="D39" s="739"/>
      <c r="E39" s="740"/>
      <c r="F39" s="567"/>
      <c r="G39" s="17"/>
      <c r="H39" s="20"/>
      <c r="I39" s="17"/>
      <c r="J39" s="961">
        <f t="shared" si="8"/>
        <v>23835000</v>
      </c>
      <c r="K39" s="961"/>
      <c r="L39" s="961">
        <f t="shared" si="9"/>
        <v>19265100</v>
      </c>
      <c r="M39" s="961"/>
    </row>
    <row r="40" spans="1:13" ht="14.45" customHeight="1" x14ac:dyDescent="0.25">
      <c r="A40" s="83" t="s">
        <v>96</v>
      </c>
      <c r="B40" s="483"/>
      <c r="C40" s="17"/>
      <c r="D40" s="739"/>
      <c r="E40" s="740"/>
      <c r="F40" s="567"/>
      <c r="G40" s="17"/>
      <c r="H40" s="20"/>
      <c r="I40" s="17"/>
      <c r="J40" s="961">
        <f t="shared" si="8"/>
        <v>42535000</v>
      </c>
      <c r="K40" s="961"/>
      <c r="L40" s="961">
        <f t="shared" si="9"/>
        <v>27150846</v>
      </c>
      <c r="M40" s="961"/>
    </row>
    <row r="41" spans="1:13" x14ac:dyDescent="0.25">
      <c r="A41" s="275" t="s">
        <v>393</v>
      </c>
      <c r="B41" s="275"/>
      <c r="C41" s="344"/>
      <c r="D41" s="344"/>
      <c r="E41" s="344"/>
      <c r="F41" s="275"/>
      <c r="G41" s="275"/>
      <c r="H41" s="275"/>
      <c r="I41" s="344"/>
      <c r="J41" s="961">
        <f t="shared" si="8"/>
        <v>0</v>
      </c>
      <c r="K41" s="961"/>
      <c r="L41" s="961">
        <f t="shared" si="9"/>
        <v>0</v>
      </c>
      <c r="M41" s="961"/>
    </row>
  </sheetData>
  <mergeCells count="51">
    <mergeCell ref="A9:A11"/>
    <mergeCell ref="B9:E9"/>
    <mergeCell ref="F9:I9"/>
    <mergeCell ref="J9:M9"/>
    <mergeCell ref="B10:C10"/>
    <mergeCell ref="D10:E10"/>
    <mergeCell ref="F10:G10"/>
    <mergeCell ref="H10:I10"/>
    <mergeCell ref="J10:K10"/>
    <mergeCell ref="A1:M1"/>
    <mergeCell ref="A2:M2"/>
    <mergeCell ref="A3:M3"/>
    <mergeCell ref="A5:M5"/>
    <mergeCell ref="A6:M6"/>
    <mergeCell ref="F31:I31"/>
    <mergeCell ref="F32:G32"/>
    <mergeCell ref="H32:I32"/>
    <mergeCell ref="L10:M10"/>
    <mergeCell ref="L21:M21"/>
    <mergeCell ref="J38:K38"/>
    <mergeCell ref="A20:A22"/>
    <mergeCell ref="B20:E20"/>
    <mergeCell ref="F20:I20"/>
    <mergeCell ref="J20:M20"/>
    <mergeCell ref="B21:C21"/>
    <mergeCell ref="D21:E21"/>
    <mergeCell ref="F21:G21"/>
    <mergeCell ref="H21:I21"/>
    <mergeCell ref="J21:K21"/>
    <mergeCell ref="A31:A33"/>
    <mergeCell ref="B31:E31"/>
    <mergeCell ref="J31:M31"/>
    <mergeCell ref="B32:C32"/>
    <mergeCell ref="D32:E32"/>
    <mergeCell ref="J32:K33"/>
    <mergeCell ref="J41:K41"/>
    <mergeCell ref="L41:M41"/>
    <mergeCell ref="L32:M33"/>
    <mergeCell ref="J34:K34"/>
    <mergeCell ref="L34:M34"/>
    <mergeCell ref="J35:K35"/>
    <mergeCell ref="L35:M35"/>
    <mergeCell ref="J39:K39"/>
    <mergeCell ref="L39:M39"/>
    <mergeCell ref="J40:K40"/>
    <mergeCell ref="L40:M40"/>
    <mergeCell ref="J36:K36"/>
    <mergeCell ref="L36:M36"/>
    <mergeCell ref="L38:M38"/>
    <mergeCell ref="J37:K37"/>
    <mergeCell ref="L37:M37"/>
  </mergeCells>
  <pageMargins left="1.21" right="0.15748031496063" top="1.49" bottom="0.43307086614173201" header="0.78740157480314998" footer="0.31496062992126"/>
  <pageSetup paperSize="9" scale="85"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43"/>
  <sheetViews>
    <sheetView zoomScale="80" zoomScaleNormal="80" workbookViewId="0">
      <selection activeCell="M31" sqref="M31"/>
    </sheetView>
  </sheetViews>
  <sheetFormatPr defaultRowHeight="15" x14ac:dyDescent="0.25"/>
  <cols>
    <col min="1" max="1" width="14.28515625" style="666" customWidth="1"/>
    <col min="2" max="2" width="11.42578125" style="724" customWidth="1"/>
    <col min="3" max="3" width="16.42578125" style="690" customWidth="1"/>
    <col min="4" max="4" width="12" style="690" customWidth="1"/>
    <col min="5" max="5" width="17.28515625" style="690" customWidth="1"/>
    <col min="6" max="6" width="9.5703125" style="724" customWidth="1"/>
    <col min="7" max="7" width="14.85546875" style="666" customWidth="1"/>
    <col min="8" max="8" width="11" style="666" customWidth="1"/>
    <col min="9" max="9" width="15" style="690" customWidth="1"/>
    <col min="10" max="10" width="11.5703125" style="724" customWidth="1"/>
    <col min="11" max="11" width="14.5703125" style="690" customWidth="1"/>
    <col min="12" max="12" width="11.42578125" style="666" customWidth="1"/>
    <col min="13" max="13" width="17.140625" style="690" customWidth="1"/>
    <col min="14" max="14" width="17.42578125" style="666" customWidth="1"/>
    <col min="15" max="15" width="9.140625" style="666"/>
    <col min="16" max="16" width="18.140625" style="666" customWidth="1"/>
    <col min="17" max="17" width="9.140625" style="666"/>
    <col min="18" max="18" width="15.42578125" style="666" customWidth="1"/>
    <col min="19" max="19" width="9.140625" style="666"/>
    <col min="20" max="20" width="15.42578125" style="666" customWidth="1"/>
    <col min="21" max="16384" width="9.140625" style="666"/>
  </cols>
  <sheetData>
    <row r="1" spans="1:13" x14ac:dyDescent="0.25">
      <c r="A1" s="947" t="s">
        <v>39</v>
      </c>
      <c r="B1" s="947"/>
      <c r="C1" s="947"/>
      <c r="D1" s="947"/>
      <c r="E1" s="947"/>
      <c r="F1" s="947"/>
      <c r="G1" s="947"/>
      <c r="H1" s="947"/>
      <c r="I1" s="947"/>
      <c r="J1" s="947"/>
      <c r="K1" s="947"/>
      <c r="L1" s="947"/>
      <c r="M1" s="947"/>
    </row>
    <row r="2" spans="1:13" x14ac:dyDescent="0.25">
      <c r="A2" s="947" t="s">
        <v>40</v>
      </c>
      <c r="B2" s="947"/>
      <c r="C2" s="947"/>
      <c r="D2" s="947"/>
      <c r="E2" s="947"/>
      <c r="F2" s="947"/>
      <c r="G2" s="947"/>
      <c r="H2" s="947"/>
      <c r="I2" s="947"/>
      <c r="J2" s="947"/>
      <c r="K2" s="947"/>
      <c r="L2" s="947"/>
      <c r="M2" s="947"/>
    </row>
    <row r="3" spans="1:13" x14ac:dyDescent="0.25">
      <c r="A3" s="947" t="s">
        <v>302</v>
      </c>
      <c r="B3" s="947"/>
      <c r="C3" s="947"/>
      <c r="D3" s="947"/>
      <c r="E3" s="947"/>
      <c r="F3" s="947"/>
      <c r="G3" s="947"/>
      <c r="H3" s="947"/>
      <c r="I3" s="947"/>
      <c r="J3" s="947"/>
      <c r="K3" s="947"/>
      <c r="L3" s="947"/>
      <c r="M3" s="947"/>
    </row>
    <row r="5" spans="1:13" ht="18.75" x14ac:dyDescent="0.3">
      <c r="A5" s="948" t="s">
        <v>380</v>
      </c>
      <c r="B5" s="948"/>
      <c r="C5" s="948"/>
      <c r="D5" s="948"/>
      <c r="E5" s="948"/>
      <c r="F5" s="948"/>
      <c r="G5" s="948"/>
      <c r="H5" s="948"/>
      <c r="I5" s="948"/>
      <c r="J5" s="948"/>
      <c r="K5" s="948"/>
      <c r="L5" s="948"/>
      <c r="M5" s="948"/>
    </row>
    <row r="6" spans="1:13" ht="18.75" x14ac:dyDescent="0.3">
      <c r="A6" s="948" t="str">
        <f>Summary2015!$A$6</f>
        <v>JANUARY TO DECEMBER 2015</v>
      </c>
      <c r="B6" s="948"/>
      <c r="C6" s="948"/>
      <c r="D6" s="948"/>
      <c r="E6" s="948"/>
      <c r="F6" s="948"/>
      <c r="G6" s="948"/>
      <c r="H6" s="948"/>
      <c r="I6" s="948"/>
      <c r="J6" s="948"/>
      <c r="K6" s="948"/>
      <c r="L6" s="948"/>
      <c r="M6" s="948"/>
    </row>
    <row r="7" spans="1:13" ht="18.75" x14ac:dyDescent="0.3">
      <c r="A7" s="696"/>
      <c r="B7" s="725"/>
      <c r="C7" s="696"/>
      <c r="D7" s="696"/>
      <c r="E7" s="696"/>
      <c r="F7" s="725"/>
      <c r="G7" s="696"/>
      <c r="H7" s="696"/>
      <c r="I7" s="696"/>
      <c r="J7" s="725"/>
      <c r="K7" s="696"/>
      <c r="L7" s="696"/>
      <c r="M7" s="696"/>
    </row>
    <row r="8" spans="1:13" ht="21" x14ac:dyDescent="0.35">
      <c r="A8" s="706" t="s">
        <v>341</v>
      </c>
      <c r="C8" s="666"/>
      <c r="D8" s="666"/>
      <c r="M8" s="666"/>
    </row>
    <row r="9" spans="1:13" s="672" customFormat="1" ht="36" customHeight="1" x14ac:dyDescent="0.25">
      <c r="A9" s="949" t="s">
        <v>3</v>
      </c>
      <c r="B9" s="950" t="s">
        <v>5</v>
      </c>
      <c r="C9" s="951"/>
      <c r="D9" s="951"/>
      <c r="E9" s="952"/>
      <c r="F9" s="950" t="s">
        <v>7</v>
      </c>
      <c r="G9" s="951"/>
      <c r="H9" s="951"/>
      <c r="I9" s="952"/>
      <c r="J9" s="950" t="s">
        <v>306</v>
      </c>
      <c r="K9" s="951"/>
      <c r="L9" s="951"/>
      <c r="M9" s="952"/>
    </row>
    <row r="10" spans="1:13" ht="14.25" customHeight="1" x14ac:dyDescent="0.25">
      <c r="A10" s="949"/>
      <c r="B10" s="938" t="s">
        <v>327</v>
      </c>
      <c r="C10" s="938"/>
      <c r="D10" s="939" t="s">
        <v>333</v>
      </c>
      <c r="E10" s="940"/>
      <c r="F10" s="938" t="s">
        <v>327</v>
      </c>
      <c r="G10" s="938"/>
      <c r="H10" s="939" t="s">
        <v>333</v>
      </c>
      <c r="I10" s="940"/>
      <c r="J10" s="938" t="s">
        <v>327</v>
      </c>
      <c r="K10" s="938"/>
      <c r="L10" s="939" t="s">
        <v>333</v>
      </c>
      <c r="M10" s="940"/>
    </row>
    <row r="11" spans="1:13" s="675" customFormat="1" ht="45" x14ac:dyDescent="0.25">
      <c r="A11" s="949"/>
      <c r="B11" s="723" t="s">
        <v>307</v>
      </c>
      <c r="C11" s="639" t="s">
        <v>60</v>
      </c>
      <c r="D11" s="695" t="s">
        <v>307</v>
      </c>
      <c r="E11" s="674" t="s">
        <v>305</v>
      </c>
      <c r="F11" s="723" t="s">
        <v>308</v>
      </c>
      <c r="G11" s="694" t="s">
        <v>60</v>
      </c>
      <c r="H11" s="695" t="s">
        <v>308</v>
      </c>
      <c r="I11" s="674" t="s">
        <v>305</v>
      </c>
      <c r="J11" s="723" t="s">
        <v>309</v>
      </c>
      <c r="K11" s="639" t="s">
        <v>60</v>
      </c>
      <c r="L11" s="695" t="s">
        <v>309</v>
      </c>
      <c r="M11" s="639" t="s">
        <v>305</v>
      </c>
    </row>
    <row r="12" spans="1:13" x14ac:dyDescent="0.25">
      <c r="A12" s="676" t="s">
        <v>81</v>
      </c>
      <c r="B12" s="677">
        <f t="shared" ref="B12:M12" si="0">SUM(B13:B19)</f>
        <v>11742</v>
      </c>
      <c r="C12" s="678">
        <f t="shared" si="0"/>
        <v>176130000</v>
      </c>
      <c r="D12" s="677">
        <f t="shared" si="0"/>
        <v>12133</v>
      </c>
      <c r="E12" s="679">
        <f t="shared" si="0"/>
        <v>128193100</v>
      </c>
      <c r="F12" s="677">
        <f t="shared" si="0"/>
        <v>640</v>
      </c>
      <c r="G12" s="678">
        <f t="shared" si="0"/>
        <v>6400000</v>
      </c>
      <c r="H12" s="677">
        <f t="shared" si="0"/>
        <v>515</v>
      </c>
      <c r="I12" s="678">
        <f t="shared" si="0"/>
        <v>3510000</v>
      </c>
      <c r="J12" s="677">
        <f t="shared" si="0"/>
        <v>12134</v>
      </c>
      <c r="K12" s="678">
        <f t="shared" si="0"/>
        <v>18929040</v>
      </c>
      <c r="L12" s="680">
        <f t="shared" si="0"/>
        <v>6309</v>
      </c>
      <c r="M12" s="678">
        <f t="shared" si="0"/>
        <v>28549299</v>
      </c>
    </row>
    <row r="13" spans="1:13" x14ac:dyDescent="0.25">
      <c r="A13" s="692" t="s">
        <v>100</v>
      </c>
      <c r="B13" s="726">
        <v>1493</v>
      </c>
      <c r="C13" s="442">
        <f t="shared" ref="C13:C19" si="1">B13*15000</f>
        <v>22395000</v>
      </c>
      <c r="D13" s="755">
        <v>1647</v>
      </c>
      <c r="E13" s="755">
        <v>16750900</v>
      </c>
      <c r="F13" s="30"/>
      <c r="G13" s="384">
        <f>F13*10000</f>
        <v>0</v>
      </c>
      <c r="H13" s="743"/>
      <c r="I13" s="744"/>
      <c r="J13" s="723">
        <v>1122</v>
      </c>
      <c r="K13" s="730">
        <f>J13*1560</f>
        <v>1750320</v>
      </c>
      <c r="L13" s="681"/>
      <c r="M13" s="682"/>
    </row>
    <row r="14" spans="1:13" x14ac:dyDescent="0.25">
      <c r="A14" s="692" t="s">
        <v>101</v>
      </c>
      <c r="B14" s="726">
        <v>2060</v>
      </c>
      <c r="C14" s="442">
        <f t="shared" si="1"/>
        <v>30900000</v>
      </c>
      <c r="D14" s="769">
        <v>1906</v>
      </c>
      <c r="E14" s="769">
        <v>19624300</v>
      </c>
      <c r="F14" s="30"/>
      <c r="G14" s="384">
        <f t="shared" ref="G14" si="2">F14*5000</f>
        <v>0</v>
      </c>
      <c r="H14" s="743"/>
      <c r="I14" s="744"/>
      <c r="J14" s="723">
        <v>3400</v>
      </c>
      <c r="K14" s="730">
        <f t="shared" ref="K14:K19" si="3">J14*1560</f>
        <v>5304000</v>
      </c>
      <c r="L14" s="681"/>
      <c r="M14" s="682"/>
    </row>
    <row r="15" spans="1:13" x14ac:dyDescent="0.25">
      <c r="A15" s="692" t="s">
        <v>102</v>
      </c>
      <c r="B15" s="726">
        <v>1992</v>
      </c>
      <c r="C15" s="442">
        <f t="shared" si="1"/>
        <v>29880000</v>
      </c>
      <c r="D15" s="769">
        <v>2243</v>
      </c>
      <c r="E15" s="769">
        <v>23637700</v>
      </c>
      <c r="F15" s="30">
        <v>207</v>
      </c>
      <c r="G15" s="384">
        <f>F15*10000</f>
        <v>2070000</v>
      </c>
      <c r="H15" s="743">
        <v>76</v>
      </c>
      <c r="I15" s="744">
        <v>760000</v>
      </c>
      <c r="J15" s="723">
        <v>912</v>
      </c>
      <c r="K15" s="730">
        <f t="shared" si="3"/>
        <v>1422720</v>
      </c>
      <c r="L15" s="681"/>
      <c r="M15" s="682"/>
    </row>
    <row r="16" spans="1:13" x14ac:dyDescent="0.25">
      <c r="A16" s="692" t="s">
        <v>103</v>
      </c>
      <c r="B16" s="726">
        <v>1523</v>
      </c>
      <c r="C16" s="442">
        <f t="shared" si="1"/>
        <v>22845000</v>
      </c>
      <c r="D16" s="769">
        <v>1417</v>
      </c>
      <c r="E16" s="769">
        <v>15106000</v>
      </c>
      <c r="F16" s="30">
        <v>163</v>
      </c>
      <c r="G16" s="384">
        <f t="shared" ref="G16:G19" si="4">F16*10000</f>
        <v>1630000</v>
      </c>
      <c r="H16" s="743">
        <v>106</v>
      </c>
      <c r="I16" s="744">
        <v>735000</v>
      </c>
      <c r="J16" s="723">
        <v>1500</v>
      </c>
      <c r="K16" s="730">
        <f t="shared" si="3"/>
        <v>2340000</v>
      </c>
      <c r="L16" s="681">
        <v>1786</v>
      </c>
      <c r="M16" s="682">
        <v>22758364</v>
      </c>
    </row>
    <row r="17" spans="1:13" x14ac:dyDescent="0.25">
      <c r="A17" s="692" t="s">
        <v>104</v>
      </c>
      <c r="B17" s="726">
        <v>1523</v>
      </c>
      <c r="C17" s="442">
        <f t="shared" si="1"/>
        <v>22845000</v>
      </c>
      <c r="D17" s="769">
        <v>1485</v>
      </c>
      <c r="E17" s="769">
        <v>15693200</v>
      </c>
      <c r="F17" s="30"/>
      <c r="G17" s="384">
        <f t="shared" si="4"/>
        <v>0</v>
      </c>
      <c r="H17" s="743">
        <v>1</v>
      </c>
      <c r="I17" s="744">
        <v>10000</v>
      </c>
      <c r="J17" s="723">
        <v>1900</v>
      </c>
      <c r="K17" s="730">
        <f t="shared" si="3"/>
        <v>2964000</v>
      </c>
      <c r="L17" s="681">
        <v>1017</v>
      </c>
      <c r="M17" s="682">
        <v>477451</v>
      </c>
    </row>
    <row r="18" spans="1:13" x14ac:dyDescent="0.25">
      <c r="A18" s="692" t="s">
        <v>105</v>
      </c>
      <c r="B18" s="726">
        <v>1801</v>
      </c>
      <c r="C18" s="442">
        <f t="shared" si="1"/>
        <v>27015000</v>
      </c>
      <c r="D18" s="769">
        <v>2010</v>
      </c>
      <c r="E18" s="769">
        <v>22298700</v>
      </c>
      <c r="F18" s="30"/>
      <c r="G18" s="384">
        <f t="shared" si="4"/>
        <v>0</v>
      </c>
      <c r="H18" s="743">
        <v>91</v>
      </c>
      <c r="I18" s="744">
        <v>650000</v>
      </c>
      <c r="J18" s="723">
        <v>1500</v>
      </c>
      <c r="K18" s="730">
        <f t="shared" si="3"/>
        <v>2340000</v>
      </c>
      <c r="L18" s="681">
        <v>1394</v>
      </c>
      <c r="M18" s="682">
        <v>1993420</v>
      </c>
    </row>
    <row r="19" spans="1:13" x14ac:dyDescent="0.25">
      <c r="A19" s="692" t="s">
        <v>106</v>
      </c>
      <c r="B19" s="726">
        <v>1350</v>
      </c>
      <c r="C19" s="442">
        <f t="shared" si="1"/>
        <v>20250000</v>
      </c>
      <c r="D19" s="769">
        <v>1425</v>
      </c>
      <c r="E19" s="769">
        <v>15082300</v>
      </c>
      <c r="F19" s="30">
        <v>270</v>
      </c>
      <c r="G19" s="384">
        <f t="shared" si="4"/>
        <v>2700000</v>
      </c>
      <c r="H19" s="743">
        <v>241</v>
      </c>
      <c r="I19" s="744">
        <v>1355000</v>
      </c>
      <c r="J19" s="723">
        <v>1800</v>
      </c>
      <c r="K19" s="730">
        <f t="shared" si="3"/>
        <v>2808000</v>
      </c>
      <c r="L19" s="681">
        <v>2112</v>
      </c>
      <c r="M19" s="682">
        <v>3320064</v>
      </c>
    </row>
    <row r="21" spans="1:13" s="672" customFormat="1" ht="31.5" customHeight="1" x14ac:dyDescent="0.25">
      <c r="A21" s="949" t="s">
        <v>3</v>
      </c>
      <c r="B21" s="950" t="s">
        <v>16</v>
      </c>
      <c r="C21" s="951"/>
      <c r="D21" s="951"/>
      <c r="E21" s="952"/>
      <c r="F21" s="950" t="s">
        <v>421</v>
      </c>
      <c r="G21" s="951"/>
      <c r="H21" s="951"/>
      <c r="I21" s="952"/>
      <c r="J21" s="950" t="s">
        <v>329</v>
      </c>
      <c r="K21" s="951"/>
      <c r="L21" s="951"/>
      <c r="M21" s="952"/>
    </row>
    <row r="22" spans="1:13" ht="15.75" customHeight="1" x14ac:dyDescent="0.25">
      <c r="A22" s="949"/>
      <c r="B22" s="938" t="s">
        <v>327</v>
      </c>
      <c r="C22" s="938"/>
      <c r="D22" s="939" t="s">
        <v>333</v>
      </c>
      <c r="E22" s="940"/>
      <c r="F22" s="938" t="s">
        <v>327</v>
      </c>
      <c r="G22" s="938"/>
      <c r="H22" s="939" t="s">
        <v>333</v>
      </c>
      <c r="I22" s="940"/>
      <c r="J22" s="938" t="s">
        <v>327</v>
      </c>
      <c r="K22" s="938"/>
      <c r="L22" s="939" t="s">
        <v>333</v>
      </c>
      <c r="M22" s="940"/>
    </row>
    <row r="23" spans="1:13" ht="45" customHeight="1" x14ac:dyDescent="0.25">
      <c r="A23" s="949"/>
      <c r="B23" s="723" t="s">
        <v>330</v>
      </c>
      <c r="C23" s="639" t="s">
        <v>60</v>
      </c>
      <c r="D23" s="695" t="s">
        <v>330</v>
      </c>
      <c r="E23" s="674" t="s">
        <v>305</v>
      </c>
      <c r="F23" s="723" t="s">
        <v>253</v>
      </c>
      <c r="G23" s="694" t="s">
        <v>60</v>
      </c>
      <c r="H23" s="695" t="s">
        <v>253</v>
      </c>
      <c r="I23" s="674" t="s">
        <v>305</v>
      </c>
      <c r="J23" s="723" t="s">
        <v>310</v>
      </c>
      <c r="K23" s="639" t="s">
        <v>60</v>
      </c>
      <c r="L23" s="695" t="s">
        <v>310</v>
      </c>
      <c r="M23" s="674" t="s">
        <v>305</v>
      </c>
    </row>
    <row r="24" spans="1:13" x14ac:dyDescent="0.25">
      <c r="A24" s="676" t="s">
        <v>81</v>
      </c>
      <c r="B24" s="677">
        <f t="shared" ref="B24:E24" si="5">SUM(B25:B31)</f>
        <v>2446</v>
      </c>
      <c r="C24" s="678">
        <f t="shared" si="5"/>
        <v>14676000</v>
      </c>
      <c r="D24" s="677">
        <f t="shared" si="5"/>
        <v>2943</v>
      </c>
      <c r="E24" s="678">
        <f t="shared" si="5"/>
        <v>17658000</v>
      </c>
      <c r="F24" s="677">
        <f t="shared" ref="F24:M24" si="6">SUM(F25:F31)</f>
        <v>18</v>
      </c>
      <c r="G24" s="678">
        <f t="shared" si="6"/>
        <v>25833600</v>
      </c>
      <c r="H24" s="677">
        <f t="shared" si="6"/>
        <v>0</v>
      </c>
      <c r="I24" s="678">
        <f t="shared" si="6"/>
        <v>0</v>
      </c>
      <c r="J24" s="677">
        <f t="shared" si="6"/>
        <v>0</v>
      </c>
      <c r="K24" s="678">
        <f t="shared" si="6"/>
        <v>0</v>
      </c>
      <c r="L24" s="680">
        <f t="shared" si="6"/>
        <v>3917</v>
      </c>
      <c r="M24" s="678">
        <f t="shared" si="6"/>
        <v>11357500</v>
      </c>
    </row>
    <row r="25" spans="1:13" ht="14.45" customHeight="1" x14ac:dyDescent="0.25">
      <c r="A25" s="692" t="s">
        <v>100</v>
      </c>
      <c r="B25" s="683">
        <v>316</v>
      </c>
      <c r="C25" s="686">
        <f t="shared" ref="C25:C31" si="7">B25*500*12</f>
        <v>1896000</v>
      </c>
      <c r="D25" s="683">
        <v>446</v>
      </c>
      <c r="E25" s="684">
        <f>D25*6000</f>
        <v>2676000</v>
      </c>
      <c r="F25" s="30">
        <v>2</v>
      </c>
      <c r="G25" s="384">
        <v>2500000</v>
      </c>
      <c r="H25" s="689"/>
      <c r="I25" s="682"/>
      <c r="J25" s="685"/>
      <c r="K25" s="686"/>
      <c r="L25" s="741">
        <v>261</v>
      </c>
      <c r="M25" s="740">
        <v>764500</v>
      </c>
    </row>
    <row r="26" spans="1:13" ht="14.45" customHeight="1" x14ac:dyDescent="0.25">
      <c r="A26" s="692" t="s">
        <v>101</v>
      </c>
      <c r="B26" s="683">
        <v>388</v>
      </c>
      <c r="C26" s="686">
        <f t="shared" si="7"/>
        <v>2328000</v>
      </c>
      <c r="D26" s="683">
        <v>506</v>
      </c>
      <c r="E26" s="684">
        <f t="shared" ref="E26:E31" si="8">D26*6000</f>
        <v>3036000</v>
      </c>
      <c r="F26" s="30">
        <f>2</f>
        <v>2</v>
      </c>
      <c r="G26" s="384">
        <f>1200000+2500000</f>
        <v>3700000</v>
      </c>
      <c r="H26" s="689"/>
      <c r="I26" s="682"/>
      <c r="J26" s="685"/>
      <c r="K26" s="686"/>
      <c r="L26" s="741">
        <v>1091</v>
      </c>
      <c r="M26" s="740">
        <v>3817000</v>
      </c>
    </row>
    <row r="27" spans="1:13" ht="14.45" customHeight="1" x14ac:dyDescent="0.25">
      <c r="A27" s="692" t="s">
        <v>102</v>
      </c>
      <c r="B27" s="683">
        <v>348</v>
      </c>
      <c r="C27" s="686">
        <f t="shared" si="7"/>
        <v>2088000</v>
      </c>
      <c r="D27" s="683">
        <v>245</v>
      </c>
      <c r="E27" s="684">
        <f t="shared" si="8"/>
        <v>1470000</v>
      </c>
      <c r="F27" s="30">
        <f>2</f>
        <v>2</v>
      </c>
      <c r="G27" s="384">
        <f>1000000+3000000</f>
        <v>4000000</v>
      </c>
      <c r="H27" s="689"/>
      <c r="I27" s="682"/>
      <c r="J27" s="685"/>
      <c r="K27" s="686"/>
      <c r="L27" s="741">
        <v>1258</v>
      </c>
      <c r="M27" s="740">
        <v>2464500</v>
      </c>
    </row>
    <row r="28" spans="1:13" ht="14.45" customHeight="1" x14ac:dyDescent="0.25">
      <c r="A28" s="692" t="s">
        <v>103</v>
      </c>
      <c r="B28" s="683">
        <v>351</v>
      </c>
      <c r="C28" s="686">
        <f t="shared" si="7"/>
        <v>2106000</v>
      </c>
      <c r="D28" s="702">
        <v>382</v>
      </c>
      <c r="E28" s="684">
        <f t="shared" si="8"/>
        <v>2292000</v>
      </c>
      <c r="F28" s="30">
        <v>3</v>
      </c>
      <c r="G28" s="384">
        <f>2000000+1650600+1000000</f>
        <v>4650600</v>
      </c>
      <c r="H28" s="689"/>
      <c r="I28" s="682"/>
      <c r="J28" s="685"/>
      <c r="K28" s="686"/>
      <c r="L28" s="741">
        <v>199</v>
      </c>
      <c r="M28" s="740">
        <v>711500</v>
      </c>
    </row>
    <row r="29" spans="1:13" ht="14.45" customHeight="1" x14ac:dyDescent="0.25">
      <c r="A29" s="692" t="s">
        <v>104</v>
      </c>
      <c r="B29" s="683">
        <v>345</v>
      </c>
      <c r="C29" s="686">
        <f t="shared" si="7"/>
        <v>2070000</v>
      </c>
      <c r="D29" s="683">
        <v>383</v>
      </c>
      <c r="E29" s="684">
        <f t="shared" si="8"/>
        <v>2298000</v>
      </c>
      <c r="F29" s="30">
        <v>3</v>
      </c>
      <c r="G29" s="384">
        <v>3460000</v>
      </c>
      <c r="H29" s="689"/>
      <c r="I29" s="682"/>
      <c r="J29" s="685"/>
      <c r="K29" s="686"/>
      <c r="L29" s="741">
        <v>543</v>
      </c>
      <c r="M29" s="740">
        <v>1717000</v>
      </c>
    </row>
    <row r="30" spans="1:13" ht="14.45" customHeight="1" x14ac:dyDescent="0.25">
      <c r="A30" s="692" t="s">
        <v>105</v>
      </c>
      <c r="B30" s="683">
        <v>329</v>
      </c>
      <c r="C30" s="686">
        <f t="shared" si="7"/>
        <v>1974000</v>
      </c>
      <c r="D30" s="683">
        <v>425</v>
      </c>
      <c r="E30" s="684">
        <f t="shared" si="8"/>
        <v>2550000</v>
      </c>
      <c r="F30" s="30">
        <f>1+3</f>
        <v>4</v>
      </c>
      <c r="G30" s="384">
        <v>3010000</v>
      </c>
      <c r="H30" s="689"/>
      <c r="I30" s="682"/>
      <c r="J30" s="685"/>
      <c r="K30" s="686"/>
      <c r="L30" s="741">
        <v>224</v>
      </c>
      <c r="M30" s="740">
        <v>726000</v>
      </c>
    </row>
    <row r="31" spans="1:13" ht="14.45" customHeight="1" x14ac:dyDescent="0.25">
      <c r="A31" s="692" t="s">
        <v>106</v>
      </c>
      <c r="B31" s="683">
        <v>369</v>
      </c>
      <c r="C31" s="686">
        <f t="shared" si="7"/>
        <v>2214000</v>
      </c>
      <c r="D31" s="683">
        <v>556</v>
      </c>
      <c r="E31" s="684">
        <f t="shared" si="8"/>
        <v>3336000</v>
      </c>
      <c r="F31" s="30">
        <v>2</v>
      </c>
      <c r="G31" s="384">
        <f>2040000+2473000</f>
        <v>4513000</v>
      </c>
      <c r="H31" s="689"/>
      <c r="I31" s="682"/>
      <c r="J31" s="685"/>
      <c r="K31" s="686"/>
      <c r="L31" s="741">
        <v>341</v>
      </c>
      <c r="M31" s="740">
        <v>1157000</v>
      </c>
    </row>
    <row r="33" spans="1:13" s="672" customFormat="1" ht="27" customHeight="1" x14ac:dyDescent="0.25">
      <c r="A33" s="949" t="s">
        <v>3</v>
      </c>
      <c r="B33" s="950" t="s">
        <v>331</v>
      </c>
      <c r="C33" s="951"/>
      <c r="D33" s="951"/>
      <c r="E33" s="952"/>
      <c r="F33" s="991" t="s">
        <v>81</v>
      </c>
      <c r="G33" s="991"/>
      <c r="H33" s="991"/>
      <c r="I33" s="991"/>
      <c r="J33" s="992"/>
      <c r="K33" s="992"/>
      <c r="L33" s="992"/>
      <c r="M33" s="992"/>
    </row>
    <row r="34" spans="1:13" ht="13.5" customHeight="1" x14ac:dyDescent="0.25">
      <c r="A34" s="949"/>
      <c r="B34" s="938" t="s">
        <v>327</v>
      </c>
      <c r="C34" s="938"/>
      <c r="D34" s="939" t="s">
        <v>333</v>
      </c>
      <c r="E34" s="940"/>
      <c r="F34" s="938" t="s">
        <v>60</v>
      </c>
      <c r="G34" s="938"/>
      <c r="H34" s="938" t="s">
        <v>305</v>
      </c>
      <c r="I34" s="938"/>
      <c r="J34" s="993"/>
      <c r="K34" s="993"/>
      <c r="L34" s="993"/>
      <c r="M34" s="993"/>
    </row>
    <row r="35" spans="1:13" ht="13.5" customHeight="1" x14ac:dyDescent="0.25">
      <c r="A35" s="949"/>
      <c r="B35" s="723" t="s">
        <v>308</v>
      </c>
      <c r="C35" s="639" t="s">
        <v>60</v>
      </c>
      <c r="D35" s="695" t="s">
        <v>332</v>
      </c>
      <c r="E35" s="674" t="s">
        <v>305</v>
      </c>
      <c r="F35" s="938"/>
      <c r="G35" s="938"/>
      <c r="H35" s="938"/>
      <c r="I35" s="938"/>
      <c r="J35" s="993"/>
      <c r="K35" s="993"/>
      <c r="L35" s="993"/>
      <c r="M35" s="993"/>
    </row>
    <row r="36" spans="1:13" ht="14.45" customHeight="1" x14ac:dyDescent="0.25">
      <c r="A36" s="676" t="s">
        <v>81</v>
      </c>
      <c r="B36" s="677">
        <f>SUM(B37:B43)</f>
        <v>0</v>
      </c>
      <c r="C36" s="678">
        <f>SUM(C37:C43)</f>
        <v>0</v>
      </c>
      <c r="D36" s="677">
        <f>SUM(D37:D43)</f>
        <v>1</v>
      </c>
      <c r="E36" s="678">
        <f>SUM(E37:E43)</f>
        <v>5000</v>
      </c>
      <c r="F36" s="962">
        <f>SUM(F37:F43)</f>
        <v>216135040</v>
      </c>
      <c r="G36" s="962"/>
      <c r="H36" s="962">
        <f>SUM(H37:I43)</f>
        <v>189272899</v>
      </c>
      <c r="I36" s="962"/>
      <c r="J36" s="954"/>
      <c r="K36" s="954"/>
      <c r="L36" s="954"/>
      <c r="M36" s="954"/>
    </row>
    <row r="37" spans="1:13" ht="14.45" customHeight="1" x14ac:dyDescent="0.25">
      <c r="A37" s="692" t="s">
        <v>100</v>
      </c>
      <c r="B37" s="723"/>
      <c r="C37" s="674"/>
      <c r="D37" s="688"/>
      <c r="E37" s="674"/>
      <c r="F37" s="961">
        <f t="shared" ref="F37:F43" si="9">C13+G13+K13+C25+K25+C37</f>
        <v>26041320</v>
      </c>
      <c r="G37" s="961"/>
      <c r="H37" s="961">
        <f t="shared" ref="H37:H43" si="10">E13+I13+M13+E25+M25+E37</f>
        <v>20191400</v>
      </c>
      <c r="I37" s="961"/>
      <c r="J37" s="994"/>
      <c r="K37" s="994"/>
      <c r="L37" s="994"/>
      <c r="M37" s="994"/>
    </row>
    <row r="38" spans="1:13" ht="14.45" customHeight="1" x14ac:dyDescent="0.25">
      <c r="A38" s="692" t="s">
        <v>101</v>
      </c>
      <c r="B38" s="723"/>
      <c r="C38" s="674"/>
      <c r="D38" s="739">
        <v>1</v>
      </c>
      <c r="E38" s="740">
        <v>5000</v>
      </c>
      <c r="F38" s="961">
        <f t="shared" si="9"/>
        <v>38532000</v>
      </c>
      <c r="G38" s="961"/>
      <c r="H38" s="961">
        <f t="shared" si="10"/>
        <v>26482300</v>
      </c>
      <c r="I38" s="961"/>
      <c r="J38" s="727"/>
      <c r="K38" s="693"/>
      <c r="L38" s="693"/>
      <c r="M38" s="693"/>
    </row>
    <row r="39" spans="1:13" ht="14.45" customHeight="1" x14ac:dyDescent="0.25">
      <c r="A39" s="692" t="s">
        <v>102</v>
      </c>
      <c r="B39" s="723"/>
      <c r="C39" s="674"/>
      <c r="D39" s="688"/>
      <c r="E39" s="674"/>
      <c r="F39" s="961">
        <f t="shared" si="9"/>
        <v>35460720</v>
      </c>
      <c r="G39" s="961"/>
      <c r="H39" s="961">
        <f t="shared" si="10"/>
        <v>28332200</v>
      </c>
      <c r="I39" s="961"/>
      <c r="J39" s="727"/>
      <c r="K39" s="693"/>
      <c r="L39" s="693"/>
      <c r="M39" s="693"/>
    </row>
    <row r="40" spans="1:13" ht="14.45" customHeight="1" x14ac:dyDescent="0.25">
      <c r="A40" s="692" t="s">
        <v>103</v>
      </c>
      <c r="B40" s="723"/>
      <c r="C40" s="674"/>
      <c r="D40" s="688"/>
      <c r="E40" s="674"/>
      <c r="F40" s="961">
        <f t="shared" si="9"/>
        <v>28921000</v>
      </c>
      <c r="G40" s="961"/>
      <c r="H40" s="961">
        <f t="shared" si="10"/>
        <v>41602864</v>
      </c>
      <c r="I40" s="961"/>
      <c r="J40" s="994"/>
      <c r="K40" s="994"/>
      <c r="L40" s="994"/>
      <c r="M40" s="994"/>
    </row>
    <row r="41" spans="1:13" ht="14.45" customHeight="1" x14ac:dyDescent="0.25">
      <c r="A41" s="692" t="s">
        <v>104</v>
      </c>
      <c r="B41" s="723"/>
      <c r="C41" s="674"/>
      <c r="D41" s="688"/>
      <c r="E41" s="674"/>
      <c r="F41" s="961">
        <f t="shared" si="9"/>
        <v>27879000</v>
      </c>
      <c r="G41" s="961"/>
      <c r="H41" s="961">
        <f t="shared" si="10"/>
        <v>20195651</v>
      </c>
      <c r="I41" s="961"/>
      <c r="J41" s="994"/>
      <c r="K41" s="994"/>
      <c r="L41" s="994"/>
      <c r="M41" s="994"/>
    </row>
    <row r="42" spans="1:13" ht="14.45" customHeight="1" x14ac:dyDescent="0.25">
      <c r="A42" s="692" t="s">
        <v>105</v>
      </c>
      <c r="B42" s="723"/>
      <c r="C42" s="674"/>
      <c r="D42" s="688"/>
      <c r="E42" s="674"/>
      <c r="F42" s="961">
        <f t="shared" si="9"/>
        <v>31329000</v>
      </c>
      <c r="G42" s="961"/>
      <c r="H42" s="961">
        <f t="shared" si="10"/>
        <v>28218120</v>
      </c>
      <c r="I42" s="961"/>
      <c r="J42" s="994"/>
      <c r="K42" s="994"/>
      <c r="L42" s="994"/>
      <c r="M42" s="994"/>
    </row>
    <row r="43" spans="1:13" ht="14.45" customHeight="1" x14ac:dyDescent="0.25">
      <c r="A43" s="692" t="s">
        <v>106</v>
      </c>
      <c r="B43" s="723"/>
      <c r="C43" s="674"/>
      <c r="D43" s="688"/>
      <c r="E43" s="674"/>
      <c r="F43" s="961">
        <f t="shared" si="9"/>
        <v>27972000</v>
      </c>
      <c r="G43" s="961"/>
      <c r="H43" s="961">
        <f t="shared" si="10"/>
        <v>24250364</v>
      </c>
      <c r="I43" s="961"/>
      <c r="J43" s="994"/>
      <c r="K43" s="994"/>
      <c r="L43" s="994"/>
      <c r="M43" s="994"/>
    </row>
  </sheetData>
  <mergeCells count="63">
    <mergeCell ref="F43:G43"/>
    <mergeCell ref="H43:I43"/>
    <mergeCell ref="F38:G38"/>
    <mergeCell ref="F39:G39"/>
    <mergeCell ref="H38:I38"/>
    <mergeCell ref="H39:I39"/>
    <mergeCell ref="F40:G40"/>
    <mergeCell ref="H40:I40"/>
    <mergeCell ref="F41:G41"/>
    <mergeCell ref="H41:I41"/>
    <mergeCell ref="F42:G42"/>
    <mergeCell ref="H42:I42"/>
    <mergeCell ref="F36:G36"/>
    <mergeCell ref="H36:I36"/>
    <mergeCell ref="F37:G37"/>
    <mergeCell ref="H37:I37"/>
    <mergeCell ref="F21:I21"/>
    <mergeCell ref="F22:G22"/>
    <mergeCell ref="H22:I22"/>
    <mergeCell ref="F34:G35"/>
    <mergeCell ref="J36:K36"/>
    <mergeCell ref="L36:M36"/>
    <mergeCell ref="J37:K37"/>
    <mergeCell ref="L37:M37"/>
    <mergeCell ref="J43:K43"/>
    <mergeCell ref="L43:M43"/>
    <mergeCell ref="J40:K40"/>
    <mergeCell ref="L40:M40"/>
    <mergeCell ref="J41:K41"/>
    <mergeCell ref="L41:M41"/>
    <mergeCell ref="J42:K42"/>
    <mergeCell ref="L42:M42"/>
    <mergeCell ref="D34:E34"/>
    <mergeCell ref="A33:A35"/>
    <mergeCell ref="F33:I33"/>
    <mergeCell ref="J33:M33"/>
    <mergeCell ref="A21:A23"/>
    <mergeCell ref="B21:E21"/>
    <mergeCell ref="J21:M21"/>
    <mergeCell ref="B33:E33"/>
    <mergeCell ref="B22:C22"/>
    <mergeCell ref="D22:E22"/>
    <mergeCell ref="J22:K22"/>
    <mergeCell ref="L22:M22"/>
    <mergeCell ref="B34:C34"/>
    <mergeCell ref="J34:K35"/>
    <mergeCell ref="L34:M35"/>
    <mergeCell ref="H34:I35"/>
    <mergeCell ref="L10:M10"/>
    <mergeCell ref="A1:M1"/>
    <mergeCell ref="A2:M2"/>
    <mergeCell ref="A3:M3"/>
    <mergeCell ref="A5:M5"/>
    <mergeCell ref="A6:M6"/>
    <mergeCell ref="A9:A11"/>
    <mergeCell ref="B9:E9"/>
    <mergeCell ref="F9:I9"/>
    <mergeCell ref="J9:M9"/>
    <mergeCell ref="B10:C10"/>
    <mergeCell ref="D10:E10"/>
    <mergeCell ref="F10:G10"/>
    <mergeCell ref="H10:I10"/>
    <mergeCell ref="J10:K10"/>
  </mergeCells>
  <pageMargins left="1.31" right="0.15748031496063" top="1.32" bottom="0.74803149606299202" header="0.78740157480314998" footer="0.31496062992126"/>
  <pageSetup paperSize="9" scale="85"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51"/>
  <sheetViews>
    <sheetView view="pageBreakPreview" zoomScale="75" zoomScaleNormal="80" zoomScaleSheetLayoutView="75" workbookViewId="0">
      <selection activeCell="M30" sqref="M30"/>
    </sheetView>
  </sheetViews>
  <sheetFormatPr defaultRowHeight="15" x14ac:dyDescent="0.25"/>
  <cols>
    <col min="1" max="1" width="14.28515625" customWidth="1"/>
    <col min="2" max="2" width="11.42578125" customWidth="1"/>
    <col min="3" max="3" width="16.85546875" style="97" customWidth="1"/>
    <col min="4" max="4" width="12" style="97" customWidth="1"/>
    <col min="5" max="5" width="17.28515625" style="97" customWidth="1"/>
    <col min="6" max="6" width="9.5703125" customWidth="1"/>
    <col min="7" max="7" width="16.28515625" customWidth="1"/>
    <col min="8" max="8" width="11" customWidth="1"/>
    <col min="9" max="9" width="16.5703125" style="97" customWidth="1"/>
    <col min="10" max="10" width="11.5703125" customWidth="1"/>
    <col min="11" max="11" width="16.140625" style="97" customWidth="1"/>
    <col min="12" max="12" width="11.42578125" customWidth="1"/>
    <col min="13" max="13" width="18.710937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4" spans="1:13" ht="11.25" customHeight="1" x14ac:dyDescent="0.25"/>
    <row r="5" spans="1:13" ht="18" x14ac:dyDescent="0.35">
      <c r="A5" s="911" t="s">
        <v>381</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1.25" customHeight="1" x14ac:dyDescent="0.35">
      <c r="A7" s="487"/>
      <c r="B7" s="487"/>
      <c r="C7" s="487"/>
      <c r="D7" s="487"/>
      <c r="E7" s="487"/>
      <c r="F7" s="487"/>
      <c r="G7" s="487"/>
      <c r="H7" s="487"/>
      <c r="I7" s="487"/>
      <c r="J7" s="487"/>
      <c r="K7" s="487"/>
      <c r="L7" s="487"/>
      <c r="M7" s="487"/>
    </row>
    <row r="8" spans="1:13" ht="21" x14ac:dyDescent="0.35">
      <c r="A8" s="491" t="s">
        <v>342</v>
      </c>
      <c r="C8"/>
      <c r="D8"/>
      <c r="M8"/>
    </row>
    <row r="9" spans="1:13" s="48" customFormat="1" ht="34.5" customHeight="1" x14ac:dyDescent="0.25">
      <c r="A9" s="906" t="s">
        <v>3</v>
      </c>
      <c r="B9" s="913" t="s">
        <v>5</v>
      </c>
      <c r="C9" s="914"/>
      <c r="D9" s="914"/>
      <c r="E9" s="915"/>
      <c r="F9" s="913" t="s">
        <v>7</v>
      </c>
      <c r="G9" s="914"/>
      <c r="H9" s="914"/>
      <c r="I9" s="915"/>
      <c r="J9" s="913" t="s">
        <v>306</v>
      </c>
      <c r="K9" s="914"/>
      <c r="L9" s="914"/>
      <c r="M9" s="915"/>
    </row>
    <row r="10" spans="1:13" ht="16.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85" t="s">
        <v>307</v>
      </c>
      <c r="C11" s="476" t="s">
        <v>60</v>
      </c>
      <c r="D11" s="485" t="s">
        <v>307</v>
      </c>
      <c r="E11" s="17" t="s">
        <v>305</v>
      </c>
      <c r="F11" s="485" t="s">
        <v>308</v>
      </c>
      <c r="G11" s="486" t="s">
        <v>60</v>
      </c>
      <c r="H11" s="485" t="s">
        <v>308</v>
      </c>
      <c r="I11" s="17" t="s">
        <v>305</v>
      </c>
      <c r="J11" s="485" t="s">
        <v>309</v>
      </c>
      <c r="K11" s="476" t="s">
        <v>60</v>
      </c>
      <c r="L11" s="485" t="s">
        <v>309</v>
      </c>
      <c r="M11" s="476" t="s">
        <v>305</v>
      </c>
    </row>
    <row r="12" spans="1:13" x14ac:dyDescent="0.25">
      <c r="A12" s="349" t="s">
        <v>81</v>
      </c>
      <c r="B12" s="477">
        <f t="shared" ref="B12:M12" si="0">SUM(B13:B18)</f>
        <v>17020</v>
      </c>
      <c r="C12" s="351">
        <f t="shared" si="0"/>
        <v>255300000</v>
      </c>
      <c r="D12" s="477">
        <f t="shared" si="0"/>
        <v>16827</v>
      </c>
      <c r="E12" s="646">
        <f t="shared" si="0"/>
        <v>173234700</v>
      </c>
      <c r="F12" s="477">
        <f t="shared" si="0"/>
        <v>2155</v>
      </c>
      <c r="G12" s="351">
        <f t="shared" si="0"/>
        <v>21550000</v>
      </c>
      <c r="H12" s="477">
        <f t="shared" si="0"/>
        <v>804</v>
      </c>
      <c r="I12" s="351">
        <f t="shared" si="0"/>
        <v>7618000</v>
      </c>
      <c r="J12" s="477">
        <f t="shared" si="0"/>
        <v>9600</v>
      </c>
      <c r="K12" s="351">
        <f t="shared" si="0"/>
        <v>14976000</v>
      </c>
      <c r="L12" s="350">
        <f t="shared" si="0"/>
        <v>7150</v>
      </c>
      <c r="M12" s="351">
        <f t="shared" si="0"/>
        <v>7387010</v>
      </c>
    </row>
    <row r="13" spans="1:13" x14ac:dyDescent="0.25">
      <c r="A13" s="83" t="s">
        <v>107</v>
      </c>
      <c r="B13" s="424">
        <v>1354</v>
      </c>
      <c r="C13" s="412">
        <f t="shared" ref="C13:C18" si="1">B13*15000</f>
        <v>20310000</v>
      </c>
      <c r="D13" s="769">
        <v>1323</v>
      </c>
      <c r="E13" s="769">
        <v>13631800</v>
      </c>
      <c r="F13" s="383">
        <v>387</v>
      </c>
      <c r="G13" s="384">
        <f>F13*10000</f>
        <v>3870000</v>
      </c>
      <c r="H13" s="743">
        <v>28</v>
      </c>
      <c r="I13" s="744">
        <v>280000</v>
      </c>
      <c r="J13" s="729">
        <v>1300</v>
      </c>
      <c r="K13" s="686">
        <f>J13*1560</f>
        <v>2028000</v>
      </c>
      <c r="L13" s="345">
        <v>1090</v>
      </c>
      <c r="M13" s="344">
        <v>1713500</v>
      </c>
    </row>
    <row r="14" spans="1:13" x14ac:dyDescent="0.25">
      <c r="A14" s="83" t="s">
        <v>108</v>
      </c>
      <c r="B14" s="424">
        <v>2056</v>
      </c>
      <c r="C14" s="412">
        <f t="shared" si="1"/>
        <v>30840000</v>
      </c>
      <c r="D14" s="769">
        <v>1891</v>
      </c>
      <c r="E14" s="769">
        <v>19873000</v>
      </c>
      <c r="F14" s="383">
        <v>100</v>
      </c>
      <c r="G14" s="384">
        <f t="shared" ref="G14:G18" si="2">F14*10000</f>
        <v>1000000</v>
      </c>
      <c r="H14" s="743">
        <v>232</v>
      </c>
      <c r="I14" s="744">
        <v>2320000</v>
      </c>
      <c r="J14" s="729">
        <v>900</v>
      </c>
      <c r="K14" s="686">
        <f t="shared" ref="K14:K18" si="3">J14*1560</f>
        <v>1404000</v>
      </c>
      <c r="L14" s="345"/>
      <c r="M14" s="344"/>
    </row>
    <row r="15" spans="1:13" x14ac:dyDescent="0.25">
      <c r="A15" s="83" t="s">
        <v>109</v>
      </c>
      <c r="B15" s="424">
        <v>3406</v>
      </c>
      <c r="C15" s="412">
        <f t="shared" si="1"/>
        <v>51090000</v>
      </c>
      <c r="D15" s="769">
        <v>3415</v>
      </c>
      <c r="E15" s="769">
        <v>35856900</v>
      </c>
      <c r="F15" s="383">
        <v>389</v>
      </c>
      <c r="G15" s="384">
        <f t="shared" si="2"/>
        <v>3890000</v>
      </c>
      <c r="H15" s="743">
        <v>124</v>
      </c>
      <c r="I15" s="744">
        <v>643000</v>
      </c>
      <c r="J15" s="729">
        <v>1800</v>
      </c>
      <c r="K15" s="686">
        <f t="shared" si="3"/>
        <v>2808000</v>
      </c>
      <c r="L15" s="345">
        <v>2169</v>
      </c>
      <c r="M15" s="344">
        <v>394758</v>
      </c>
    </row>
    <row r="16" spans="1:13" x14ac:dyDescent="0.25">
      <c r="A16" s="83" t="s">
        <v>110</v>
      </c>
      <c r="B16" s="424">
        <v>2947</v>
      </c>
      <c r="C16" s="412">
        <f t="shared" si="1"/>
        <v>44205000</v>
      </c>
      <c r="D16" s="769">
        <v>2872</v>
      </c>
      <c r="E16" s="769">
        <v>29597300</v>
      </c>
      <c r="F16" s="383">
        <v>709</v>
      </c>
      <c r="G16" s="384">
        <f t="shared" si="2"/>
        <v>7090000</v>
      </c>
      <c r="H16" s="743">
        <v>111</v>
      </c>
      <c r="I16" s="744">
        <v>835000</v>
      </c>
      <c r="J16" s="729">
        <v>1800</v>
      </c>
      <c r="K16" s="686">
        <f t="shared" si="3"/>
        <v>2808000</v>
      </c>
      <c r="L16" s="345">
        <v>1991</v>
      </c>
      <c r="M16" s="344">
        <v>3129852</v>
      </c>
    </row>
    <row r="17" spans="1:13" x14ac:dyDescent="0.25">
      <c r="A17" s="83" t="s">
        <v>111</v>
      </c>
      <c r="B17" s="424">
        <v>5023</v>
      </c>
      <c r="C17" s="412">
        <f t="shared" si="1"/>
        <v>75345000</v>
      </c>
      <c r="D17" s="769">
        <v>5143</v>
      </c>
      <c r="E17" s="769">
        <v>51620300</v>
      </c>
      <c r="F17" s="383">
        <v>200</v>
      </c>
      <c r="G17" s="384">
        <f t="shared" si="2"/>
        <v>2000000</v>
      </c>
      <c r="H17" s="743">
        <v>309</v>
      </c>
      <c r="I17" s="744">
        <v>3540000</v>
      </c>
      <c r="J17" s="729">
        <v>2100</v>
      </c>
      <c r="K17" s="686">
        <f t="shared" si="3"/>
        <v>3276000</v>
      </c>
      <c r="L17" s="345"/>
      <c r="M17" s="344"/>
    </row>
    <row r="18" spans="1:13" x14ac:dyDescent="0.25">
      <c r="A18" s="83" t="s">
        <v>112</v>
      </c>
      <c r="B18" s="424">
        <v>2234</v>
      </c>
      <c r="C18" s="412">
        <f t="shared" si="1"/>
        <v>33510000</v>
      </c>
      <c r="D18" s="769">
        <v>2183</v>
      </c>
      <c r="E18" s="769">
        <v>22655400</v>
      </c>
      <c r="F18" s="383">
        <v>370</v>
      </c>
      <c r="G18" s="384">
        <f t="shared" si="2"/>
        <v>3700000</v>
      </c>
      <c r="H18" s="743"/>
      <c r="I18" s="744"/>
      <c r="J18" s="729">
        <v>1700</v>
      </c>
      <c r="K18" s="686">
        <f t="shared" si="3"/>
        <v>2652000</v>
      </c>
      <c r="L18" s="345">
        <v>1900</v>
      </c>
      <c r="M18" s="344">
        <v>2148900</v>
      </c>
    </row>
    <row r="19" spans="1:13" ht="10.5" customHeight="1" x14ac:dyDescent="0.25"/>
    <row r="20" spans="1:13" s="48" customFormat="1" ht="21" customHeight="1" x14ac:dyDescent="0.25">
      <c r="A20" s="906" t="s">
        <v>3</v>
      </c>
      <c r="B20" s="913" t="s">
        <v>16</v>
      </c>
      <c r="C20" s="914"/>
      <c r="D20" s="914"/>
      <c r="E20" s="915"/>
      <c r="F20" s="913" t="s">
        <v>421</v>
      </c>
      <c r="G20" s="914"/>
      <c r="H20" s="914"/>
      <c r="I20" s="915"/>
      <c r="J20" s="913" t="s">
        <v>329</v>
      </c>
      <c r="K20" s="914"/>
      <c r="L20" s="914"/>
      <c r="M20" s="915"/>
    </row>
    <row r="21" spans="1:13" ht="19.5" customHeight="1" x14ac:dyDescent="0.25">
      <c r="A21" s="906"/>
      <c r="B21" s="899" t="s">
        <v>327</v>
      </c>
      <c r="C21" s="899"/>
      <c r="D21" s="900" t="s">
        <v>333</v>
      </c>
      <c r="E21" s="901"/>
      <c r="F21" s="899" t="s">
        <v>327</v>
      </c>
      <c r="G21" s="899"/>
      <c r="H21" s="900" t="s">
        <v>333</v>
      </c>
      <c r="I21" s="901"/>
      <c r="J21" s="899" t="s">
        <v>327</v>
      </c>
      <c r="K21" s="899"/>
      <c r="L21" s="900" t="s">
        <v>333</v>
      </c>
      <c r="M21" s="901"/>
    </row>
    <row r="22" spans="1:13" ht="45" customHeight="1" x14ac:dyDescent="0.25">
      <c r="A22" s="906"/>
      <c r="B22" s="485" t="s">
        <v>330</v>
      </c>
      <c r="C22" s="476" t="s">
        <v>60</v>
      </c>
      <c r="D22" s="485" t="s">
        <v>330</v>
      </c>
      <c r="E22" s="17" t="s">
        <v>305</v>
      </c>
      <c r="F22" s="485" t="s">
        <v>253</v>
      </c>
      <c r="G22" s="486" t="s">
        <v>60</v>
      </c>
      <c r="H22" s="485" t="s">
        <v>253</v>
      </c>
      <c r="I22" s="17" t="s">
        <v>305</v>
      </c>
      <c r="J22" s="485" t="s">
        <v>310</v>
      </c>
      <c r="K22" s="476" t="s">
        <v>60</v>
      </c>
      <c r="L22" s="485" t="s">
        <v>310</v>
      </c>
      <c r="M22" s="17" t="s">
        <v>305</v>
      </c>
    </row>
    <row r="23" spans="1:13" x14ac:dyDescent="0.25">
      <c r="A23" s="349" t="s">
        <v>81</v>
      </c>
      <c r="B23" s="477">
        <f t="shared" ref="B23:M23" si="4">SUM(B24:B29)</f>
        <v>2258</v>
      </c>
      <c r="C23" s="351">
        <f t="shared" si="4"/>
        <v>13548000</v>
      </c>
      <c r="D23" s="477">
        <f t="shared" si="4"/>
        <v>3240</v>
      </c>
      <c r="E23" s="351">
        <f t="shared" si="4"/>
        <v>19440000</v>
      </c>
      <c r="F23" s="477">
        <f t="shared" si="4"/>
        <v>8</v>
      </c>
      <c r="G23" s="351">
        <f t="shared" si="4"/>
        <v>12725000</v>
      </c>
      <c r="H23" s="477">
        <f t="shared" si="4"/>
        <v>0</v>
      </c>
      <c r="I23" s="351">
        <f t="shared" si="4"/>
        <v>0</v>
      </c>
      <c r="J23" s="477">
        <f t="shared" si="4"/>
        <v>0</v>
      </c>
      <c r="K23" s="351">
        <f t="shared" si="4"/>
        <v>0</v>
      </c>
      <c r="L23" s="350">
        <f t="shared" si="4"/>
        <v>3674</v>
      </c>
      <c r="M23" s="351">
        <f t="shared" si="4"/>
        <v>8842500</v>
      </c>
    </row>
    <row r="24" spans="1:13" x14ac:dyDescent="0.25">
      <c r="A24" s="83" t="s">
        <v>107</v>
      </c>
      <c r="B24" s="729">
        <v>338</v>
      </c>
      <c r="C24" s="686">
        <f t="shared" ref="C24:C29" si="5">B24*500*12</f>
        <v>2028000</v>
      </c>
      <c r="D24" s="101">
        <v>488</v>
      </c>
      <c r="E24" s="648">
        <f>D24*6000</f>
        <v>2928000</v>
      </c>
      <c r="F24" s="383">
        <v>3</v>
      </c>
      <c r="G24" s="384">
        <f>500000+2500000+500000</f>
        <v>3500000</v>
      </c>
      <c r="H24" s="30"/>
      <c r="I24" s="384"/>
      <c r="J24" s="478"/>
      <c r="K24" s="386"/>
      <c r="L24" s="739">
        <v>369</v>
      </c>
      <c r="M24" s="740">
        <v>1305000</v>
      </c>
    </row>
    <row r="25" spans="1:13" x14ac:dyDescent="0.25">
      <c r="A25" s="83" t="s">
        <v>108</v>
      </c>
      <c r="B25" s="729">
        <v>329</v>
      </c>
      <c r="C25" s="686">
        <f t="shared" si="5"/>
        <v>1974000</v>
      </c>
      <c r="D25" s="647">
        <v>397</v>
      </c>
      <c r="E25" s="648">
        <f t="shared" ref="E25:E29" si="6">D25*6000</f>
        <v>2382000</v>
      </c>
      <c r="F25" s="383"/>
      <c r="G25" s="384"/>
      <c r="H25" s="30"/>
      <c r="I25" s="384"/>
      <c r="J25" s="478"/>
      <c r="K25" s="386"/>
      <c r="L25" s="739">
        <v>116</v>
      </c>
      <c r="M25" s="740">
        <v>397000</v>
      </c>
    </row>
    <row r="26" spans="1:13" x14ac:dyDescent="0.25">
      <c r="A26" s="83" t="s">
        <v>109</v>
      </c>
      <c r="B26" s="729">
        <v>328</v>
      </c>
      <c r="C26" s="686">
        <f t="shared" si="5"/>
        <v>1968000</v>
      </c>
      <c r="D26" s="101">
        <v>392</v>
      </c>
      <c r="E26" s="648">
        <f t="shared" si="6"/>
        <v>2352000</v>
      </c>
      <c r="F26" s="383">
        <v>1</v>
      </c>
      <c r="G26" s="384">
        <v>2500000</v>
      </c>
      <c r="H26" s="30"/>
      <c r="I26" s="384"/>
      <c r="J26" s="478"/>
      <c r="K26" s="386"/>
      <c r="L26" s="739">
        <v>1517</v>
      </c>
      <c r="M26" s="740">
        <v>1263000</v>
      </c>
    </row>
    <row r="27" spans="1:13" x14ac:dyDescent="0.25">
      <c r="A27" s="83" t="s">
        <v>110</v>
      </c>
      <c r="B27" s="729">
        <v>359</v>
      </c>
      <c r="C27" s="686">
        <f t="shared" si="5"/>
        <v>2154000</v>
      </c>
      <c r="D27" s="101">
        <v>678</v>
      </c>
      <c r="E27" s="648">
        <f t="shared" si="6"/>
        <v>4068000</v>
      </c>
      <c r="F27" s="383">
        <f>1</f>
        <v>1</v>
      </c>
      <c r="G27" s="384">
        <f>2000000</f>
        <v>2000000</v>
      </c>
      <c r="H27" s="30"/>
      <c r="I27" s="384"/>
      <c r="J27" s="478"/>
      <c r="K27" s="386"/>
      <c r="L27" s="739">
        <v>467</v>
      </c>
      <c r="M27" s="740">
        <v>1672000</v>
      </c>
    </row>
    <row r="28" spans="1:13" x14ac:dyDescent="0.25">
      <c r="A28" s="83" t="s">
        <v>111</v>
      </c>
      <c r="B28" s="729">
        <v>513</v>
      </c>
      <c r="C28" s="686">
        <f t="shared" si="5"/>
        <v>3078000</v>
      </c>
      <c r="D28" s="101">
        <v>707</v>
      </c>
      <c r="E28" s="648">
        <f t="shared" si="6"/>
        <v>4242000</v>
      </c>
      <c r="F28" s="383">
        <f>1</f>
        <v>1</v>
      </c>
      <c r="G28" s="384">
        <v>2100000</v>
      </c>
      <c r="H28" s="30"/>
      <c r="I28" s="384"/>
      <c r="J28" s="478"/>
      <c r="K28" s="386"/>
      <c r="L28" s="739">
        <v>599</v>
      </c>
      <c r="M28" s="740">
        <v>2049500</v>
      </c>
    </row>
    <row r="29" spans="1:13" x14ac:dyDescent="0.25">
      <c r="A29" s="83" t="s">
        <v>112</v>
      </c>
      <c r="B29" s="729">
        <v>391</v>
      </c>
      <c r="C29" s="686">
        <f t="shared" si="5"/>
        <v>2346000</v>
      </c>
      <c r="D29" s="101">
        <v>578</v>
      </c>
      <c r="E29" s="648">
        <f t="shared" si="6"/>
        <v>3468000</v>
      </c>
      <c r="F29" s="383">
        <f>2</f>
        <v>2</v>
      </c>
      <c r="G29" s="384">
        <f>2000000+625000</f>
        <v>2625000</v>
      </c>
      <c r="H29" s="30"/>
      <c r="I29" s="384"/>
      <c r="J29" s="478"/>
      <c r="K29" s="386"/>
      <c r="L29" s="739">
        <v>606</v>
      </c>
      <c r="M29" s="740">
        <v>2156000</v>
      </c>
    </row>
    <row r="30" spans="1:13" ht="10.5" customHeight="1" x14ac:dyDescent="0.25"/>
    <row r="31" spans="1:13" s="48" customFormat="1" ht="35.25" customHeight="1" x14ac:dyDescent="0.25">
      <c r="A31" s="906" t="s">
        <v>3</v>
      </c>
      <c r="B31" s="913" t="s">
        <v>331</v>
      </c>
      <c r="C31" s="914"/>
      <c r="D31" s="914"/>
      <c r="E31" s="915"/>
      <c r="F31" s="913" t="s">
        <v>375</v>
      </c>
      <c r="G31" s="914"/>
      <c r="H31" s="914"/>
      <c r="I31" s="915"/>
      <c r="J31" s="913" t="s">
        <v>23</v>
      </c>
      <c r="K31" s="914"/>
      <c r="L31" s="914"/>
      <c r="M31" s="915"/>
    </row>
    <row r="32" spans="1:13" ht="24.75" customHeight="1" x14ac:dyDescent="0.25">
      <c r="A32" s="906"/>
      <c r="B32" s="899" t="s">
        <v>327</v>
      </c>
      <c r="C32" s="899"/>
      <c r="D32" s="900" t="s">
        <v>333</v>
      </c>
      <c r="E32" s="901"/>
      <c r="F32" s="899" t="s">
        <v>327</v>
      </c>
      <c r="G32" s="899"/>
      <c r="H32" s="900" t="s">
        <v>333</v>
      </c>
      <c r="I32" s="901"/>
      <c r="J32" s="899" t="s">
        <v>327</v>
      </c>
      <c r="K32" s="899"/>
      <c r="L32" s="900" t="s">
        <v>333</v>
      </c>
      <c r="M32" s="901"/>
    </row>
    <row r="33" spans="1:13" ht="45" customHeight="1" x14ac:dyDescent="0.25">
      <c r="A33" s="906"/>
      <c r="B33" s="485" t="s">
        <v>308</v>
      </c>
      <c r="C33" s="476" t="s">
        <v>60</v>
      </c>
      <c r="D33" s="485" t="s">
        <v>332</v>
      </c>
      <c r="E33" s="17" t="s">
        <v>305</v>
      </c>
      <c r="F33" s="485" t="s">
        <v>308</v>
      </c>
      <c r="G33" s="486" t="s">
        <v>60</v>
      </c>
      <c r="H33" s="485" t="s">
        <v>253</v>
      </c>
      <c r="I33" s="17" t="s">
        <v>305</v>
      </c>
      <c r="J33" s="485" t="s">
        <v>308</v>
      </c>
      <c r="K33" s="486" t="s">
        <v>60</v>
      </c>
      <c r="L33" s="485" t="s">
        <v>253</v>
      </c>
      <c r="M33" s="17" t="s">
        <v>305</v>
      </c>
    </row>
    <row r="34" spans="1:13" x14ac:dyDescent="0.25">
      <c r="A34" s="349" t="s">
        <v>81</v>
      </c>
      <c r="B34" s="477">
        <f t="shared" ref="B34:M34" si="7">SUM(B35:B40)</f>
        <v>0</v>
      </c>
      <c r="C34" s="351">
        <f t="shared" si="7"/>
        <v>0</v>
      </c>
      <c r="D34" s="477">
        <f t="shared" si="7"/>
        <v>2</v>
      </c>
      <c r="E34" s="351">
        <f t="shared" si="7"/>
        <v>5250</v>
      </c>
      <c r="F34" s="477">
        <f t="shared" si="7"/>
        <v>0</v>
      </c>
      <c r="G34" s="351">
        <f t="shared" si="7"/>
        <v>0</v>
      </c>
      <c r="H34" s="477">
        <f t="shared" si="7"/>
        <v>0</v>
      </c>
      <c r="I34" s="351">
        <f t="shared" si="7"/>
        <v>0</v>
      </c>
      <c r="J34" s="477">
        <f t="shared" si="7"/>
        <v>0</v>
      </c>
      <c r="K34" s="351">
        <f t="shared" si="7"/>
        <v>0</v>
      </c>
      <c r="L34" s="477">
        <f t="shared" si="7"/>
        <v>0</v>
      </c>
      <c r="M34" s="351">
        <f t="shared" si="7"/>
        <v>0</v>
      </c>
    </row>
    <row r="35" spans="1:13" x14ac:dyDescent="0.25">
      <c r="A35" s="83" t="s">
        <v>107</v>
      </c>
      <c r="B35" s="485"/>
      <c r="C35" s="17"/>
      <c r="D35" s="5"/>
      <c r="E35" s="17"/>
      <c r="F35" s="30"/>
      <c r="G35" s="384"/>
      <c r="H35" s="30"/>
      <c r="I35" s="384"/>
      <c r="J35" s="30"/>
      <c r="K35" s="384"/>
      <c r="L35" s="30"/>
      <c r="M35" s="384"/>
    </row>
    <row r="36" spans="1:13" x14ac:dyDescent="0.25">
      <c r="A36" s="83" t="s">
        <v>108</v>
      </c>
      <c r="B36" s="485"/>
      <c r="C36" s="17"/>
      <c r="D36" s="20"/>
      <c r="E36" s="17"/>
      <c r="F36" s="30"/>
      <c r="G36" s="384"/>
      <c r="H36" s="30"/>
      <c r="I36" s="384"/>
      <c r="J36" s="30"/>
      <c r="K36" s="384"/>
      <c r="L36" s="30"/>
      <c r="M36" s="384"/>
    </row>
    <row r="37" spans="1:13" x14ac:dyDescent="0.25">
      <c r="A37" s="83" t="s">
        <v>109</v>
      </c>
      <c r="B37" s="485"/>
      <c r="C37" s="17"/>
      <c r="D37" s="739">
        <v>1</v>
      </c>
      <c r="E37" s="740">
        <v>250</v>
      </c>
      <c r="F37" s="30"/>
      <c r="G37" s="384"/>
      <c r="H37" s="30"/>
      <c r="I37" s="384"/>
      <c r="J37" s="30"/>
      <c r="K37" s="384"/>
      <c r="L37" s="30"/>
      <c r="M37" s="384"/>
    </row>
    <row r="38" spans="1:13" x14ac:dyDescent="0.25">
      <c r="A38" s="83" t="s">
        <v>110</v>
      </c>
      <c r="B38" s="485"/>
      <c r="C38" s="17"/>
      <c r="D38" s="20"/>
      <c r="E38" s="17"/>
      <c r="F38" s="30"/>
      <c r="G38" s="384"/>
      <c r="H38" s="30"/>
      <c r="I38" s="384"/>
      <c r="J38" s="30"/>
      <c r="K38" s="384"/>
      <c r="L38" s="30"/>
      <c r="M38" s="384"/>
    </row>
    <row r="39" spans="1:13" x14ac:dyDescent="0.25">
      <c r="A39" s="83" t="s">
        <v>111</v>
      </c>
      <c r="B39" s="485"/>
      <c r="C39" s="17"/>
      <c r="D39" s="20"/>
      <c r="E39" s="17"/>
      <c r="F39" s="30"/>
      <c r="G39" s="384"/>
      <c r="H39" s="30"/>
      <c r="I39" s="384"/>
      <c r="J39" s="30"/>
      <c r="K39" s="384"/>
      <c r="L39" s="30"/>
      <c r="M39" s="384"/>
    </row>
    <row r="40" spans="1:13" x14ac:dyDescent="0.25">
      <c r="A40" s="83" t="s">
        <v>112</v>
      </c>
      <c r="B40" s="485"/>
      <c r="C40" s="17"/>
      <c r="D40" s="739">
        <v>1</v>
      </c>
      <c r="E40" s="740">
        <v>5000</v>
      </c>
      <c r="F40" s="30"/>
      <c r="G40" s="384"/>
      <c r="H40" s="30"/>
      <c r="I40" s="384"/>
      <c r="J40" s="30"/>
      <c r="K40" s="384"/>
      <c r="L40" s="30"/>
      <c r="M40" s="384"/>
    </row>
    <row r="41" spans="1:13" ht="10.5" customHeight="1" x14ac:dyDescent="0.25"/>
    <row r="42" spans="1:13" x14ac:dyDescent="0.25">
      <c r="A42" s="906" t="s">
        <v>3</v>
      </c>
      <c r="B42" s="995" t="s">
        <v>81</v>
      </c>
      <c r="C42" s="995"/>
      <c r="D42" s="995"/>
      <c r="E42" s="995"/>
    </row>
    <row r="43" spans="1:13" x14ac:dyDescent="0.25">
      <c r="A43" s="906"/>
      <c r="B43" s="899" t="s">
        <v>60</v>
      </c>
      <c r="C43" s="899"/>
      <c r="D43" s="899" t="s">
        <v>305</v>
      </c>
      <c r="E43" s="899"/>
    </row>
    <row r="44" spans="1:13" x14ac:dyDescent="0.25">
      <c r="A44" s="906"/>
      <c r="B44" s="899"/>
      <c r="C44" s="899"/>
      <c r="D44" s="899"/>
      <c r="E44" s="899"/>
    </row>
    <row r="45" spans="1:13" x14ac:dyDescent="0.25">
      <c r="A45" s="349" t="s">
        <v>81</v>
      </c>
      <c r="B45" s="998">
        <f>SUM(B46:C51)</f>
        <v>318099000</v>
      </c>
      <c r="C45" s="999"/>
      <c r="D45" s="998">
        <f>SUM(D46:E51)</f>
        <v>216527460</v>
      </c>
      <c r="E45" s="999"/>
    </row>
    <row r="46" spans="1:13" x14ac:dyDescent="0.25">
      <c r="A46" s="83" t="s">
        <v>107</v>
      </c>
      <c r="B46" s="996">
        <f t="shared" ref="B46:B51" si="8">C13+G13+K13+C24+G24+K24+C35+G35+K35</f>
        <v>31736000</v>
      </c>
      <c r="C46" s="997"/>
      <c r="D46" s="996">
        <f t="shared" ref="D46:D51" si="9">E13+I13+M13+E24+I24+M24+E35+I35+M35</f>
        <v>19858300</v>
      </c>
      <c r="E46" s="997"/>
    </row>
    <row r="47" spans="1:13" x14ac:dyDescent="0.25">
      <c r="A47" s="83" t="s">
        <v>108</v>
      </c>
      <c r="B47" s="996">
        <f t="shared" si="8"/>
        <v>35218000</v>
      </c>
      <c r="C47" s="997"/>
      <c r="D47" s="996">
        <f t="shared" si="9"/>
        <v>24972000</v>
      </c>
      <c r="E47" s="997"/>
    </row>
    <row r="48" spans="1:13" x14ac:dyDescent="0.25">
      <c r="A48" s="83" t="s">
        <v>109</v>
      </c>
      <c r="B48" s="996">
        <f t="shared" si="8"/>
        <v>62256000</v>
      </c>
      <c r="C48" s="997"/>
      <c r="D48" s="996">
        <f t="shared" si="9"/>
        <v>40509908</v>
      </c>
      <c r="E48" s="997"/>
    </row>
    <row r="49" spans="1:5" x14ac:dyDescent="0.25">
      <c r="A49" s="83" t="s">
        <v>110</v>
      </c>
      <c r="B49" s="996">
        <f t="shared" si="8"/>
        <v>58257000</v>
      </c>
      <c r="C49" s="997"/>
      <c r="D49" s="996">
        <f t="shared" si="9"/>
        <v>39302152</v>
      </c>
      <c r="E49" s="997"/>
    </row>
    <row r="50" spans="1:5" x14ac:dyDescent="0.25">
      <c r="A50" s="83" t="s">
        <v>111</v>
      </c>
      <c r="B50" s="996">
        <f t="shared" si="8"/>
        <v>85799000</v>
      </c>
      <c r="C50" s="997"/>
      <c r="D50" s="996">
        <f t="shared" si="9"/>
        <v>61451800</v>
      </c>
      <c r="E50" s="997"/>
    </row>
    <row r="51" spans="1:5" x14ac:dyDescent="0.25">
      <c r="A51" s="83" t="s">
        <v>112</v>
      </c>
      <c r="B51" s="996">
        <f t="shared" si="8"/>
        <v>44833000</v>
      </c>
      <c r="C51" s="997"/>
      <c r="D51" s="996">
        <f t="shared" si="9"/>
        <v>30433300</v>
      </c>
      <c r="E51" s="997"/>
    </row>
  </sheetData>
  <mergeCells count="53">
    <mergeCell ref="J32:K32"/>
    <mergeCell ref="B50:C50"/>
    <mergeCell ref="B51:C51"/>
    <mergeCell ref="D45:E45"/>
    <mergeCell ref="D46:E46"/>
    <mergeCell ref="D47:E47"/>
    <mergeCell ref="D48:E48"/>
    <mergeCell ref="D49:E49"/>
    <mergeCell ref="D50:E50"/>
    <mergeCell ref="D51:E51"/>
    <mergeCell ref="B45:C45"/>
    <mergeCell ref="B46:C46"/>
    <mergeCell ref="B47:C47"/>
    <mergeCell ref="B48:C48"/>
    <mergeCell ref="B49:C49"/>
    <mergeCell ref="B21:C21"/>
    <mergeCell ref="D21:E21"/>
    <mergeCell ref="B42:E42"/>
    <mergeCell ref="A42:A44"/>
    <mergeCell ref="B43:C44"/>
    <mergeCell ref="D43:E44"/>
    <mergeCell ref="H10:I10"/>
    <mergeCell ref="J10:K10"/>
    <mergeCell ref="L32:M32"/>
    <mergeCell ref="L21:M21"/>
    <mergeCell ref="A31:A33"/>
    <mergeCell ref="B31:E31"/>
    <mergeCell ref="F31:I31"/>
    <mergeCell ref="J31:M31"/>
    <mergeCell ref="B32:C32"/>
    <mergeCell ref="D32:E32"/>
    <mergeCell ref="F32:G32"/>
    <mergeCell ref="H32:I32"/>
    <mergeCell ref="A20:A22"/>
    <mergeCell ref="B20:E20"/>
    <mergeCell ref="F20:I20"/>
    <mergeCell ref="J20:M20"/>
    <mergeCell ref="F21:G21"/>
    <mergeCell ref="H21:I21"/>
    <mergeCell ref="J21:K21"/>
    <mergeCell ref="L10:M10"/>
    <mergeCell ref="A1:M1"/>
    <mergeCell ref="A2:M2"/>
    <mergeCell ref="A3:M3"/>
    <mergeCell ref="A5:M5"/>
    <mergeCell ref="A6:M6"/>
    <mergeCell ref="A9:A11"/>
    <mergeCell ref="B9:E9"/>
    <mergeCell ref="F9:I9"/>
    <mergeCell ref="J9:M9"/>
    <mergeCell ref="B10:C10"/>
    <mergeCell ref="D10:E10"/>
    <mergeCell ref="F10:G10"/>
  </mergeCells>
  <pageMargins left="1.1599999999999999" right="0.196850393700787" top="1.1399999999999999" bottom="0.15748031496063" header="0.78740157480314998" footer="0.31496062992126"/>
  <pageSetup paperSize="9" scale="80"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37"/>
  <sheetViews>
    <sheetView zoomScale="80" zoomScaleNormal="80" workbookViewId="0">
      <selection activeCell="M27" sqref="M27"/>
    </sheetView>
  </sheetViews>
  <sheetFormatPr defaultRowHeight="15" x14ac:dyDescent="0.25"/>
  <cols>
    <col min="1" max="1" width="14.28515625" style="666" customWidth="1"/>
    <col min="2" max="2" width="11.42578125" style="666" customWidth="1"/>
    <col min="3" max="3" width="16.5703125" style="690" customWidth="1"/>
    <col min="4" max="4" width="12" style="690" customWidth="1"/>
    <col min="5" max="5" width="17" style="690" customWidth="1"/>
    <col min="6" max="6" width="9.5703125" style="666" customWidth="1"/>
    <col min="7" max="7" width="15.5703125" style="666" customWidth="1"/>
    <col min="8" max="8" width="11" style="666" customWidth="1"/>
    <col min="9" max="9" width="14" style="690" customWidth="1"/>
    <col min="10" max="10" width="11.5703125" style="666" customWidth="1"/>
    <col min="11" max="11" width="14.5703125" style="690" customWidth="1"/>
    <col min="12" max="12" width="11.42578125" style="666" customWidth="1"/>
    <col min="13" max="13" width="17.140625" style="690" customWidth="1"/>
    <col min="14" max="14" width="17.42578125" style="666" customWidth="1"/>
    <col min="15" max="15" width="9.140625" style="666"/>
    <col min="16" max="16" width="18.140625" style="666" customWidth="1"/>
    <col min="17" max="17" width="9.140625" style="666"/>
    <col min="18" max="18" width="15.42578125" style="666" customWidth="1"/>
    <col min="19" max="19" width="9.140625" style="666"/>
    <col min="20" max="20" width="15.42578125" style="666" customWidth="1"/>
    <col min="21" max="16384" width="9.140625" style="666"/>
  </cols>
  <sheetData>
    <row r="1" spans="1:13" x14ac:dyDescent="0.25">
      <c r="A1" s="947" t="s">
        <v>39</v>
      </c>
      <c r="B1" s="947"/>
      <c r="C1" s="947"/>
      <c r="D1" s="947"/>
      <c r="E1" s="947"/>
      <c r="F1" s="947"/>
      <c r="G1" s="947"/>
      <c r="H1" s="947"/>
      <c r="I1" s="947"/>
      <c r="J1" s="947"/>
      <c r="K1" s="947"/>
      <c r="L1" s="947"/>
      <c r="M1" s="947"/>
    </row>
    <row r="2" spans="1:13" x14ac:dyDescent="0.25">
      <c r="A2" s="947" t="s">
        <v>40</v>
      </c>
      <c r="B2" s="947"/>
      <c r="C2" s="947"/>
      <c r="D2" s="947"/>
      <c r="E2" s="947"/>
      <c r="F2" s="947"/>
      <c r="G2" s="947"/>
      <c r="H2" s="947"/>
      <c r="I2" s="947"/>
      <c r="J2" s="947"/>
      <c r="K2" s="947"/>
      <c r="L2" s="947"/>
      <c r="M2" s="947"/>
    </row>
    <row r="3" spans="1:13" x14ac:dyDescent="0.25">
      <c r="A3" s="947" t="s">
        <v>302</v>
      </c>
      <c r="B3" s="947"/>
      <c r="C3" s="947"/>
      <c r="D3" s="947"/>
      <c r="E3" s="947"/>
      <c r="F3" s="947"/>
      <c r="G3" s="947"/>
      <c r="H3" s="947"/>
      <c r="I3" s="947"/>
      <c r="J3" s="947"/>
      <c r="K3" s="947"/>
      <c r="L3" s="947"/>
      <c r="M3" s="947"/>
    </row>
    <row r="5" spans="1:13" ht="18.75" x14ac:dyDescent="0.3">
      <c r="A5" s="948" t="s">
        <v>382</v>
      </c>
      <c r="B5" s="948"/>
      <c r="C5" s="948"/>
      <c r="D5" s="948"/>
      <c r="E5" s="948"/>
      <c r="F5" s="948"/>
      <c r="G5" s="948"/>
      <c r="H5" s="948"/>
      <c r="I5" s="948"/>
      <c r="J5" s="948"/>
      <c r="K5" s="948"/>
      <c r="L5" s="948"/>
      <c r="M5" s="948"/>
    </row>
    <row r="6" spans="1:13" ht="18.75" x14ac:dyDescent="0.3">
      <c r="A6" s="948" t="str">
        <f>Summary2015!$A$6</f>
        <v>JANUARY TO DECEMBER 2015</v>
      </c>
      <c r="B6" s="948"/>
      <c r="C6" s="948"/>
      <c r="D6" s="948"/>
      <c r="E6" s="948"/>
      <c r="F6" s="948"/>
      <c r="G6" s="948"/>
      <c r="H6" s="948"/>
      <c r="I6" s="948"/>
      <c r="J6" s="948"/>
      <c r="K6" s="948"/>
      <c r="L6" s="948"/>
      <c r="M6" s="948"/>
    </row>
    <row r="7" spans="1:13" ht="18.75" x14ac:dyDescent="0.3">
      <c r="A7" s="696"/>
      <c r="B7" s="696"/>
      <c r="C7" s="696"/>
      <c r="D7" s="696"/>
      <c r="E7" s="696"/>
      <c r="F7" s="696"/>
      <c r="G7" s="696"/>
      <c r="H7" s="696"/>
      <c r="I7" s="696"/>
      <c r="J7" s="696"/>
      <c r="K7" s="696"/>
      <c r="L7" s="696"/>
      <c r="M7" s="696"/>
    </row>
    <row r="8" spans="1:13" ht="21" x14ac:dyDescent="0.35">
      <c r="A8" s="706" t="s">
        <v>343</v>
      </c>
      <c r="C8" s="666"/>
      <c r="D8" s="666"/>
      <c r="M8" s="666"/>
    </row>
    <row r="9" spans="1:13" s="672" customFormat="1" ht="32.25" customHeight="1" x14ac:dyDescent="0.25">
      <c r="A9" s="949" t="s">
        <v>3</v>
      </c>
      <c r="B9" s="950" t="s">
        <v>5</v>
      </c>
      <c r="C9" s="951"/>
      <c r="D9" s="951"/>
      <c r="E9" s="952"/>
      <c r="F9" s="950" t="s">
        <v>7</v>
      </c>
      <c r="G9" s="951"/>
      <c r="H9" s="951"/>
      <c r="I9" s="952"/>
      <c r="J9" s="950" t="s">
        <v>306</v>
      </c>
      <c r="K9" s="951"/>
      <c r="L9" s="951"/>
      <c r="M9" s="952"/>
    </row>
    <row r="10" spans="1:13" ht="20.25" customHeight="1" x14ac:dyDescent="0.25">
      <c r="A10" s="949"/>
      <c r="B10" s="938" t="s">
        <v>327</v>
      </c>
      <c r="C10" s="938"/>
      <c r="D10" s="939" t="s">
        <v>333</v>
      </c>
      <c r="E10" s="940"/>
      <c r="F10" s="938" t="s">
        <v>327</v>
      </c>
      <c r="G10" s="938"/>
      <c r="H10" s="939" t="s">
        <v>333</v>
      </c>
      <c r="I10" s="940"/>
      <c r="J10" s="938" t="s">
        <v>327</v>
      </c>
      <c r="K10" s="938"/>
      <c r="L10" s="939" t="s">
        <v>333</v>
      </c>
      <c r="M10" s="940"/>
    </row>
    <row r="11" spans="1:13" s="675" customFormat="1" ht="45" x14ac:dyDescent="0.25">
      <c r="A11" s="949"/>
      <c r="B11" s="695" t="s">
        <v>307</v>
      </c>
      <c r="C11" s="639" t="s">
        <v>60</v>
      </c>
      <c r="D11" s="695" t="s">
        <v>307</v>
      </c>
      <c r="E11" s="674" t="s">
        <v>305</v>
      </c>
      <c r="F11" s="695" t="s">
        <v>308</v>
      </c>
      <c r="G11" s="694" t="s">
        <v>60</v>
      </c>
      <c r="H11" s="695" t="s">
        <v>308</v>
      </c>
      <c r="I11" s="674" t="s">
        <v>305</v>
      </c>
      <c r="J11" s="695" t="s">
        <v>309</v>
      </c>
      <c r="K11" s="639" t="s">
        <v>60</v>
      </c>
      <c r="L11" s="695" t="s">
        <v>309</v>
      </c>
      <c r="M11" s="639" t="s">
        <v>305</v>
      </c>
    </row>
    <row r="12" spans="1:13" x14ac:dyDescent="0.25">
      <c r="A12" s="676" t="s">
        <v>81</v>
      </c>
      <c r="B12" s="677">
        <f t="shared" ref="B12:M12" si="0">SUM(B13:B16)</f>
        <v>11354</v>
      </c>
      <c r="C12" s="678">
        <f t="shared" si="0"/>
        <v>170310000</v>
      </c>
      <c r="D12" s="677">
        <f t="shared" si="0"/>
        <v>11444</v>
      </c>
      <c r="E12" s="679">
        <f t="shared" si="0"/>
        <v>120926500</v>
      </c>
      <c r="F12" s="677">
        <f t="shared" si="0"/>
        <v>660</v>
      </c>
      <c r="G12" s="678">
        <f t="shared" si="0"/>
        <v>6600000</v>
      </c>
      <c r="H12" s="677">
        <f t="shared" si="0"/>
        <v>233</v>
      </c>
      <c r="I12" s="678">
        <f t="shared" si="0"/>
        <v>1515000</v>
      </c>
      <c r="J12" s="677">
        <f t="shared" si="0"/>
        <v>6866</v>
      </c>
      <c r="K12" s="678">
        <f t="shared" si="0"/>
        <v>10710960</v>
      </c>
      <c r="L12" s="680">
        <f t="shared" si="0"/>
        <v>5206</v>
      </c>
      <c r="M12" s="678">
        <f t="shared" si="0"/>
        <v>4988095</v>
      </c>
    </row>
    <row r="13" spans="1:13" s="675" customFormat="1" ht="30" x14ac:dyDescent="0.25">
      <c r="A13" s="238" t="s">
        <v>113</v>
      </c>
      <c r="B13" s="424">
        <v>2873</v>
      </c>
      <c r="C13" s="412">
        <f t="shared" ref="C13:C16" si="1">B13*15000</f>
        <v>43095000</v>
      </c>
      <c r="D13" s="769">
        <v>3208</v>
      </c>
      <c r="E13" s="769">
        <v>32982500</v>
      </c>
      <c r="F13" s="383">
        <v>100</v>
      </c>
      <c r="G13" s="384">
        <f>F13*10000</f>
        <v>1000000</v>
      </c>
      <c r="H13" s="743">
        <v>15</v>
      </c>
      <c r="I13" s="744">
        <v>150000</v>
      </c>
      <c r="J13" s="729">
        <v>2266</v>
      </c>
      <c r="K13" s="686">
        <f>J13*1560</f>
        <v>3534960</v>
      </c>
      <c r="L13" s="707"/>
      <c r="M13" s="708"/>
    </row>
    <row r="14" spans="1:13" x14ac:dyDescent="0.25">
      <c r="A14" s="692" t="s">
        <v>114</v>
      </c>
      <c r="B14" s="424">
        <v>2498</v>
      </c>
      <c r="C14" s="412">
        <f t="shared" si="1"/>
        <v>37470000</v>
      </c>
      <c r="D14" s="769">
        <v>2498</v>
      </c>
      <c r="E14" s="769">
        <v>27153200</v>
      </c>
      <c r="F14" s="383">
        <v>100</v>
      </c>
      <c r="G14" s="384">
        <f t="shared" ref="G14:G16" si="2">F14*10000</f>
        <v>1000000</v>
      </c>
      <c r="H14" s="743">
        <v>26</v>
      </c>
      <c r="I14" s="744">
        <v>260000</v>
      </c>
      <c r="J14" s="729">
        <v>1500</v>
      </c>
      <c r="K14" s="686">
        <f t="shared" ref="K14:K16" si="3">J14*1560</f>
        <v>2340000</v>
      </c>
      <c r="L14" s="681">
        <v>1700</v>
      </c>
      <c r="M14" s="682">
        <v>2672400</v>
      </c>
    </row>
    <row r="15" spans="1:13" x14ac:dyDescent="0.25">
      <c r="A15" s="692" t="s">
        <v>115</v>
      </c>
      <c r="B15" s="424">
        <v>617</v>
      </c>
      <c r="C15" s="412">
        <f t="shared" si="1"/>
        <v>9255000</v>
      </c>
      <c r="D15" s="769">
        <v>760</v>
      </c>
      <c r="E15" s="769">
        <v>8024800</v>
      </c>
      <c r="F15" s="383"/>
      <c r="G15" s="384">
        <f t="shared" si="2"/>
        <v>0</v>
      </c>
      <c r="H15" s="743">
        <v>23</v>
      </c>
      <c r="I15" s="744">
        <v>115000</v>
      </c>
      <c r="J15" s="729">
        <v>600</v>
      </c>
      <c r="K15" s="686">
        <f t="shared" si="3"/>
        <v>936000</v>
      </c>
      <c r="L15" s="681">
        <v>645</v>
      </c>
      <c r="M15" s="682">
        <v>1013940</v>
      </c>
    </row>
    <row r="16" spans="1:13" x14ac:dyDescent="0.25">
      <c r="A16" s="692" t="s">
        <v>116</v>
      </c>
      <c r="B16" s="424">
        <v>5366</v>
      </c>
      <c r="C16" s="412">
        <f t="shared" si="1"/>
        <v>80490000</v>
      </c>
      <c r="D16" s="769">
        <v>4978</v>
      </c>
      <c r="E16" s="769">
        <v>52766000</v>
      </c>
      <c r="F16" s="383">
        <v>460</v>
      </c>
      <c r="G16" s="384">
        <f t="shared" si="2"/>
        <v>4600000</v>
      </c>
      <c r="H16" s="743">
        <v>169</v>
      </c>
      <c r="I16" s="744">
        <v>990000</v>
      </c>
      <c r="J16" s="729">
        <v>2500</v>
      </c>
      <c r="K16" s="686">
        <f t="shared" si="3"/>
        <v>3900000</v>
      </c>
      <c r="L16" s="681">
        <v>2861</v>
      </c>
      <c r="M16" s="682">
        <v>1301755</v>
      </c>
    </row>
    <row r="18" spans="1:13" x14ac:dyDescent="0.25">
      <c r="A18" s="955" t="s">
        <v>303</v>
      </c>
      <c r="B18" s="959" t="s">
        <v>304</v>
      </c>
      <c r="C18" s="959"/>
      <c r="D18" s="959"/>
      <c r="E18" s="959"/>
      <c r="F18" s="959"/>
      <c r="G18" s="959"/>
      <c r="H18" s="959"/>
      <c r="I18" s="959"/>
      <c r="J18" s="959"/>
      <c r="K18" s="959"/>
      <c r="L18" s="959"/>
      <c r="M18" s="959"/>
    </row>
    <row r="19" spans="1:13" ht="28.5" customHeight="1" x14ac:dyDescent="0.25">
      <c r="A19" s="956"/>
      <c r="B19" s="1002" t="s">
        <v>16</v>
      </c>
      <c r="C19" s="939"/>
      <c r="D19" s="939"/>
      <c r="E19" s="940"/>
      <c r="F19" s="950" t="s">
        <v>421</v>
      </c>
      <c r="G19" s="951"/>
      <c r="H19" s="951"/>
      <c r="I19" s="952"/>
      <c r="J19" s="1002" t="s">
        <v>329</v>
      </c>
      <c r="K19" s="939"/>
      <c r="L19" s="939"/>
      <c r="M19" s="940"/>
    </row>
    <row r="20" spans="1:13" ht="25.5" customHeight="1" x14ac:dyDescent="0.25">
      <c r="A20" s="956"/>
      <c r="B20" s="938" t="s">
        <v>327</v>
      </c>
      <c r="C20" s="938"/>
      <c r="D20" s="939" t="s">
        <v>333</v>
      </c>
      <c r="E20" s="940"/>
      <c r="F20" s="938" t="s">
        <v>327</v>
      </c>
      <c r="G20" s="938"/>
      <c r="H20" s="939" t="s">
        <v>333</v>
      </c>
      <c r="I20" s="940"/>
      <c r="J20" s="938" t="s">
        <v>327</v>
      </c>
      <c r="K20" s="938"/>
      <c r="L20" s="939" t="s">
        <v>333</v>
      </c>
      <c r="M20" s="940"/>
    </row>
    <row r="21" spans="1:13" ht="45" customHeight="1" x14ac:dyDescent="0.25">
      <c r="A21" s="957"/>
      <c r="B21" s="695" t="s">
        <v>330</v>
      </c>
      <c r="C21" s="639" t="s">
        <v>60</v>
      </c>
      <c r="D21" s="695" t="s">
        <v>330</v>
      </c>
      <c r="E21" s="674" t="s">
        <v>305</v>
      </c>
      <c r="F21" s="695" t="s">
        <v>253</v>
      </c>
      <c r="G21" s="694" t="s">
        <v>60</v>
      </c>
      <c r="H21" s="695" t="s">
        <v>253</v>
      </c>
      <c r="I21" s="639" t="s">
        <v>305</v>
      </c>
      <c r="J21" s="695" t="s">
        <v>310</v>
      </c>
      <c r="K21" s="639" t="s">
        <v>60</v>
      </c>
      <c r="L21" s="695" t="s">
        <v>310</v>
      </c>
      <c r="M21" s="674" t="s">
        <v>305</v>
      </c>
    </row>
    <row r="22" spans="1:13" x14ac:dyDescent="0.25">
      <c r="A22" s="676" t="s">
        <v>81</v>
      </c>
      <c r="B22" s="677">
        <f t="shared" ref="B22:M22" si="4">SUM(B23:B26)</f>
        <v>1418</v>
      </c>
      <c r="C22" s="678">
        <f t="shared" si="4"/>
        <v>8508000</v>
      </c>
      <c r="D22" s="677">
        <f t="shared" si="4"/>
        <v>1551</v>
      </c>
      <c r="E22" s="678">
        <f t="shared" si="4"/>
        <v>9306000</v>
      </c>
      <c r="F22" s="677">
        <f t="shared" si="4"/>
        <v>12</v>
      </c>
      <c r="G22" s="678">
        <f t="shared" si="4"/>
        <v>21109400</v>
      </c>
      <c r="H22" s="677">
        <f t="shared" si="4"/>
        <v>0</v>
      </c>
      <c r="I22" s="678">
        <f t="shared" si="4"/>
        <v>0</v>
      </c>
      <c r="J22" s="677">
        <f t="shared" si="4"/>
        <v>0</v>
      </c>
      <c r="K22" s="678">
        <f t="shared" si="4"/>
        <v>0</v>
      </c>
      <c r="L22" s="680">
        <f t="shared" si="4"/>
        <v>2965</v>
      </c>
      <c r="M22" s="678">
        <f t="shared" si="4"/>
        <v>10330500</v>
      </c>
    </row>
    <row r="23" spans="1:13" ht="30" x14ac:dyDescent="0.25">
      <c r="A23" s="692" t="s">
        <v>113</v>
      </c>
      <c r="B23" s="729">
        <v>325</v>
      </c>
      <c r="C23" s="686">
        <f t="shared" ref="C23:C26" si="5">B23*500*12</f>
        <v>1950000</v>
      </c>
      <c r="D23" s="769">
        <v>430</v>
      </c>
      <c r="E23" s="769">
        <f>D23*6000</f>
        <v>2580000</v>
      </c>
      <c r="F23" s="383">
        <v>6</v>
      </c>
      <c r="G23" s="384">
        <f>2640000+300000+380400+360000+420000+500000</f>
        <v>4600400</v>
      </c>
      <c r="H23" s="30"/>
      <c r="I23" s="384"/>
      <c r="J23" s="695"/>
      <c r="K23" s="674"/>
      <c r="L23" s="739">
        <v>729</v>
      </c>
      <c r="M23" s="740">
        <v>3071500</v>
      </c>
    </row>
    <row r="24" spans="1:13" x14ac:dyDescent="0.25">
      <c r="A24" s="692" t="s">
        <v>114</v>
      </c>
      <c r="B24" s="729">
        <v>329</v>
      </c>
      <c r="C24" s="686">
        <f t="shared" si="5"/>
        <v>1974000</v>
      </c>
      <c r="D24" s="769">
        <v>539</v>
      </c>
      <c r="E24" s="769">
        <f t="shared" ref="E24:E26" si="6">D24*6000</f>
        <v>3234000</v>
      </c>
      <c r="F24" s="383">
        <v>2</v>
      </c>
      <c r="G24" s="384">
        <f>1710000+2299000</f>
        <v>4009000</v>
      </c>
      <c r="H24" s="30"/>
      <c r="I24" s="384"/>
      <c r="J24" s="695"/>
      <c r="K24" s="674"/>
      <c r="L24" s="739">
        <v>1101</v>
      </c>
      <c r="M24" s="740">
        <v>3629500</v>
      </c>
    </row>
    <row r="25" spans="1:13" x14ac:dyDescent="0.25">
      <c r="A25" s="692" t="s">
        <v>115</v>
      </c>
      <c r="B25" s="729">
        <v>373</v>
      </c>
      <c r="C25" s="686">
        <f t="shared" si="5"/>
        <v>2238000</v>
      </c>
      <c r="D25" s="769">
        <v>282</v>
      </c>
      <c r="E25" s="769">
        <f t="shared" si="6"/>
        <v>1692000</v>
      </c>
      <c r="F25" s="383">
        <v>4</v>
      </c>
      <c r="G25" s="690">
        <v>12500000</v>
      </c>
      <c r="H25" s="30"/>
      <c r="I25" s="384"/>
      <c r="J25" s="695"/>
      <c r="K25" s="674"/>
      <c r="L25" s="739">
        <v>217</v>
      </c>
      <c r="M25" s="740">
        <v>738000</v>
      </c>
    </row>
    <row r="26" spans="1:13" x14ac:dyDescent="0.25">
      <c r="A26" s="692" t="s">
        <v>116</v>
      </c>
      <c r="B26" s="729">
        <v>391</v>
      </c>
      <c r="C26" s="686">
        <f t="shared" si="5"/>
        <v>2346000</v>
      </c>
      <c r="D26" s="769">
        <v>300</v>
      </c>
      <c r="E26" s="769">
        <f t="shared" si="6"/>
        <v>1800000</v>
      </c>
      <c r="F26" s="383"/>
      <c r="G26" s="384"/>
      <c r="H26" s="30"/>
      <c r="I26" s="384"/>
      <c r="J26" s="695"/>
      <c r="K26" s="674"/>
      <c r="L26" s="739">
        <v>918</v>
      </c>
      <c r="M26" s="740">
        <v>2891500</v>
      </c>
    </row>
    <row r="28" spans="1:13" x14ac:dyDescent="0.25">
      <c r="A28" s="955" t="s">
        <v>303</v>
      </c>
      <c r="B28" s="959" t="s">
        <v>304</v>
      </c>
      <c r="C28" s="959"/>
      <c r="D28" s="959"/>
      <c r="E28" s="959"/>
      <c r="F28" s="959"/>
      <c r="G28" s="959"/>
      <c r="H28" s="959"/>
      <c r="I28" s="959"/>
      <c r="J28" s="959"/>
      <c r="K28" s="959"/>
      <c r="L28" s="959"/>
      <c r="M28" s="959"/>
    </row>
    <row r="29" spans="1:13" ht="36" customHeight="1" x14ac:dyDescent="0.25">
      <c r="A29" s="956"/>
      <c r="B29" s="938" t="s">
        <v>331</v>
      </c>
      <c r="C29" s="938"/>
      <c r="D29" s="938"/>
      <c r="E29" s="938"/>
      <c r="F29" s="938" t="s">
        <v>23</v>
      </c>
      <c r="G29" s="938"/>
      <c r="H29" s="938"/>
      <c r="I29" s="938"/>
      <c r="J29" s="938" t="s">
        <v>81</v>
      </c>
      <c r="K29" s="938"/>
      <c r="L29" s="938"/>
      <c r="M29" s="938"/>
    </row>
    <row r="30" spans="1:13" ht="24.75" customHeight="1" x14ac:dyDescent="0.25">
      <c r="A30" s="956"/>
      <c r="B30" s="938" t="s">
        <v>327</v>
      </c>
      <c r="C30" s="938"/>
      <c r="D30" s="938" t="s">
        <v>333</v>
      </c>
      <c r="E30" s="938"/>
      <c r="F30" s="938" t="s">
        <v>327</v>
      </c>
      <c r="G30" s="938"/>
      <c r="H30" s="938" t="s">
        <v>333</v>
      </c>
      <c r="I30" s="938"/>
      <c r="J30" s="938" t="s">
        <v>60</v>
      </c>
      <c r="K30" s="938"/>
      <c r="L30" s="938" t="s">
        <v>305</v>
      </c>
      <c r="M30" s="938"/>
    </row>
    <row r="31" spans="1:13" ht="45" customHeight="1" x14ac:dyDescent="0.25">
      <c r="A31" s="957"/>
      <c r="B31" s="695" t="s">
        <v>308</v>
      </c>
      <c r="C31" s="639" t="s">
        <v>60</v>
      </c>
      <c r="D31" s="695" t="s">
        <v>332</v>
      </c>
      <c r="E31" s="674" t="s">
        <v>305</v>
      </c>
      <c r="F31" s="695" t="s">
        <v>308</v>
      </c>
      <c r="G31" s="639" t="s">
        <v>60</v>
      </c>
      <c r="H31" s="695" t="s">
        <v>332</v>
      </c>
      <c r="I31" s="674" t="s">
        <v>305</v>
      </c>
      <c r="J31" s="938"/>
      <c r="K31" s="938"/>
      <c r="L31" s="938"/>
      <c r="M31" s="938"/>
    </row>
    <row r="32" spans="1:13" ht="14.45" customHeight="1" x14ac:dyDescent="0.25">
      <c r="A32" s="676" t="s">
        <v>81</v>
      </c>
      <c r="B32" s="677">
        <f t="shared" ref="B32:G32" si="7">SUM(B33:B36)</f>
        <v>0</v>
      </c>
      <c r="C32" s="678">
        <f t="shared" si="7"/>
        <v>0</v>
      </c>
      <c r="D32" s="677">
        <f t="shared" si="7"/>
        <v>1</v>
      </c>
      <c r="E32" s="678">
        <f t="shared" si="7"/>
        <v>100</v>
      </c>
      <c r="F32" s="677">
        <f t="shared" si="7"/>
        <v>0</v>
      </c>
      <c r="G32" s="678">
        <f t="shared" si="7"/>
        <v>0</v>
      </c>
      <c r="H32" s="677">
        <f>SUM(H33:H37)</f>
        <v>0</v>
      </c>
      <c r="I32" s="687">
        <f>SUM(I33:I37)</f>
        <v>0</v>
      </c>
      <c r="J32" s="962">
        <f>SUM(J33:J36)</f>
        <v>217238360</v>
      </c>
      <c r="K32" s="962"/>
      <c r="L32" s="962">
        <f>SUM(L33:M37)</f>
        <v>147066195</v>
      </c>
      <c r="M32" s="962"/>
    </row>
    <row r="33" spans="1:13" ht="28.9" customHeight="1" x14ac:dyDescent="0.25">
      <c r="A33" s="692" t="s">
        <v>113</v>
      </c>
      <c r="B33" s="695"/>
      <c r="C33" s="674"/>
      <c r="D33" s="705"/>
      <c r="E33" s="674"/>
      <c r="F33" s="695"/>
      <c r="G33" s="674"/>
      <c r="H33" s="705"/>
      <c r="I33" s="674"/>
      <c r="J33" s="961">
        <f>C13+G13+K13+C23+G23+K23+C33</f>
        <v>54180360</v>
      </c>
      <c r="K33" s="961"/>
      <c r="L33" s="961">
        <f>E13+I13+M13+E23+I23+M23+E33+I33</f>
        <v>38784000</v>
      </c>
      <c r="M33" s="961"/>
    </row>
    <row r="34" spans="1:13" ht="14.45" customHeight="1" x14ac:dyDescent="0.25">
      <c r="A34" s="692" t="s">
        <v>114</v>
      </c>
      <c r="B34" s="695"/>
      <c r="C34" s="674"/>
      <c r="D34" s="739">
        <v>1</v>
      </c>
      <c r="E34" s="740">
        <v>100</v>
      </c>
      <c r="F34" s="695"/>
      <c r="G34" s="674"/>
      <c r="H34" s="688"/>
      <c r="I34" s="674"/>
      <c r="J34" s="961">
        <f>C14+G14+K14+C24+G24+K24+C34</f>
        <v>46793000</v>
      </c>
      <c r="K34" s="961"/>
      <c r="L34" s="961">
        <f t="shared" ref="L34:L37" si="8">E14+I14+M14+E24+I24+M24+E34+I34</f>
        <v>36949200</v>
      </c>
      <c r="M34" s="961"/>
    </row>
    <row r="35" spans="1:13" ht="14.45" customHeight="1" x14ac:dyDescent="0.25">
      <c r="A35" s="692" t="s">
        <v>115</v>
      </c>
      <c r="B35" s="695"/>
      <c r="C35" s="674"/>
      <c r="D35" s="688"/>
      <c r="E35" s="674"/>
      <c r="F35" s="695"/>
      <c r="G35" s="674"/>
      <c r="H35" s="688"/>
      <c r="I35" s="674"/>
      <c r="J35" s="961">
        <f>C15+G15+K15+C25+G25+K25+C35</f>
        <v>24929000</v>
      </c>
      <c r="K35" s="961"/>
      <c r="L35" s="961">
        <f t="shared" si="8"/>
        <v>11583740</v>
      </c>
      <c r="M35" s="961"/>
    </row>
    <row r="36" spans="1:13" ht="14.45" customHeight="1" x14ac:dyDescent="0.25">
      <c r="A36" s="692" t="s">
        <v>116</v>
      </c>
      <c r="B36" s="695"/>
      <c r="C36" s="674"/>
      <c r="D36" s="688"/>
      <c r="E36" s="674"/>
      <c r="F36" s="695"/>
      <c r="G36" s="674"/>
      <c r="H36" s="688"/>
      <c r="I36" s="674"/>
      <c r="J36" s="961">
        <f>C16+G16+K16+C26+G26+K26+C36</f>
        <v>91336000</v>
      </c>
      <c r="K36" s="961"/>
      <c r="L36" s="961">
        <f t="shared" si="8"/>
        <v>59749255</v>
      </c>
      <c r="M36" s="961"/>
    </row>
    <row r="37" spans="1:13" x14ac:dyDescent="0.25">
      <c r="A37" s="689" t="s">
        <v>394</v>
      </c>
      <c r="B37" s="689"/>
      <c r="C37" s="682"/>
      <c r="D37" s="682"/>
      <c r="E37" s="682"/>
      <c r="F37" s="689"/>
      <c r="G37" s="689"/>
      <c r="H37" s="689"/>
      <c r="I37" s="682"/>
      <c r="J37" s="1000"/>
      <c r="K37" s="1001"/>
      <c r="L37" s="961">
        <f t="shared" si="8"/>
        <v>0</v>
      </c>
      <c r="M37" s="961"/>
    </row>
  </sheetData>
  <mergeCells count="49">
    <mergeCell ref="L32:M32"/>
    <mergeCell ref="J33:K33"/>
    <mergeCell ref="L33:M33"/>
    <mergeCell ref="J34:K34"/>
    <mergeCell ref="L34:M34"/>
    <mergeCell ref="L35:M35"/>
    <mergeCell ref="L36:M36"/>
    <mergeCell ref="J35:K35"/>
    <mergeCell ref="J36:K36"/>
    <mergeCell ref="A28:A31"/>
    <mergeCell ref="B29:E29"/>
    <mergeCell ref="J29:M29"/>
    <mergeCell ref="B30:C30"/>
    <mergeCell ref="D30:E30"/>
    <mergeCell ref="J30:K31"/>
    <mergeCell ref="L30:M31"/>
    <mergeCell ref="F29:I29"/>
    <mergeCell ref="F30:G30"/>
    <mergeCell ref="H30:I30"/>
    <mergeCell ref="B28:M28"/>
    <mergeCell ref="J32:K32"/>
    <mergeCell ref="J19:M19"/>
    <mergeCell ref="B20:C20"/>
    <mergeCell ref="D20:E20"/>
    <mergeCell ref="F20:G20"/>
    <mergeCell ref="H20:I20"/>
    <mergeCell ref="J20:K20"/>
    <mergeCell ref="L20:M20"/>
    <mergeCell ref="A1:M1"/>
    <mergeCell ref="A2:M2"/>
    <mergeCell ref="A3:M3"/>
    <mergeCell ref="A5:M5"/>
    <mergeCell ref="A6:M6"/>
    <mergeCell ref="J37:K37"/>
    <mergeCell ref="L37:M37"/>
    <mergeCell ref="A9:A11"/>
    <mergeCell ref="B9:E9"/>
    <mergeCell ref="F9:I9"/>
    <mergeCell ref="J9:M9"/>
    <mergeCell ref="B10:C10"/>
    <mergeCell ref="D10:E10"/>
    <mergeCell ref="F10:G10"/>
    <mergeCell ref="H10:I10"/>
    <mergeCell ref="J10:K10"/>
    <mergeCell ref="L10:M10"/>
    <mergeCell ref="A18:A21"/>
    <mergeCell ref="B18:M18"/>
    <mergeCell ref="B19:E19"/>
    <mergeCell ref="F19:I19"/>
  </mergeCells>
  <pageMargins left="0.72" right="0.15" top="1.1399999999999999" bottom="0.48" header="0.77" footer="0.3"/>
  <pageSetup paperSize="5" scale="95"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5"/>
  <sheetViews>
    <sheetView zoomScale="80" zoomScaleNormal="80" workbookViewId="0">
      <selection activeCell="M20" sqref="M20"/>
    </sheetView>
  </sheetViews>
  <sheetFormatPr defaultRowHeight="15" x14ac:dyDescent="0.25"/>
  <cols>
    <col min="1" max="1" width="14.28515625" customWidth="1"/>
    <col min="2" max="2" width="11.42578125" customWidth="1"/>
    <col min="3" max="3" width="16.7109375" style="97" customWidth="1"/>
    <col min="4" max="4" width="12" style="97" customWidth="1"/>
    <col min="5" max="5" width="16.28515625" style="97" customWidth="1"/>
    <col min="6" max="6" width="9.5703125" customWidth="1"/>
    <col min="7" max="7" width="15.85546875" customWidth="1"/>
    <col min="8" max="8" width="11" customWidth="1"/>
    <col min="9" max="9" width="14.7109375" style="97" customWidth="1"/>
    <col min="10" max="10" width="11.5703125" customWidth="1"/>
    <col min="11" max="11" width="14.5703125" style="97" customWidth="1"/>
    <col min="12" max="12" width="11.42578125" customWidth="1"/>
    <col min="13" max="13" width="17.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75" x14ac:dyDescent="0.3">
      <c r="A5" s="911" t="s">
        <v>379</v>
      </c>
      <c r="B5" s="911"/>
      <c r="C5" s="911"/>
      <c r="D5" s="911"/>
      <c r="E5" s="911"/>
      <c r="F5" s="911"/>
      <c r="G5" s="911"/>
      <c r="H5" s="911"/>
      <c r="I5" s="911"/>
      <c r="J5" s="911"/>
      <c r="K5" s="911"/>
      <c r="L5" s="911"/>
      <c r="M5" s="911"/>
    </row>
    <row r="6" spans="1:13" ht="18.75" x14ac:dyDescent="0.3">
      <c r="A6" s="911" t="str">
        <f>Summary2015!$A$6</f>
        <v>JANUARY TO DECEMBER 2015</v>
      </c>
      <c r="B6" s="911"/>
      <c r="C6" s="911"/>
      <c r="D6" s="911"/>
      <c r="E6" s="911"/>
      <c r="F6" s="911"/>
      <c r="G6" s="911"/>
      <c r="H6" s="911"/>
      <c r="I6" s="911"/>
      <c r="J6" s="911"/>
      <c r="K6" s="911"/>
      <c r="L6" s="911"/>
      <c r="M6" s="911"/>
    </row>
    <row r="7" spans="1:13" ht="18.75" x14ac:dyDescent="0.3">
      <c r="A7" s="487"/>
      <c r="B7" s="487"/>
      <c r="C7" s="487"/>
      <c r="D7" s="487"/>
      <c r="E7" s="487"/>
      <c r="F7" s="487"/>
      <c r="G7" s="487"/>
      <c r="H7" s="487"/>
      <c r="I7" s="487"/>
      <c r="J7" s="487"/>
      <c r="K7" s="487"/>
      <c r="L7" s="487"/>
      <c r="M7" s="487"/>
    </row>
    <row r="8" spans="1:13" ht="21" x14ac:dyDescent="0.35">
      <c r="A8" s="491" t="s">
        <v>345</v>
      </c>
      <c r="C8"/>
      <c r="D8"/>
      <c r="M8"/>
    </row>
    <row r="9" spans="1:13" s="48" customFormat="1" ht="24.75" customHeight="1" x14ac:dyDescent="0.25">
      <c r="A9" s="906" t="s">
        <v>378</v>
      </c>
      <c r="B9" s="913" t="s">
        <v>5</v>
      </c>
      <c r="C9" s="914"/>
      <c r="D9" s="914"/>
      <c r="E9" s="915"/>
      <c r="F9" s="913" t="s">
        <v>7</v>
      </c>
      <c r="G9" s="914"/>
      <c r="H9" s="914"/>
      <c r="I9" s="915"/>
      <c r="J9" s="913" t="s">
        <v>306</v>
      </c>
      <c r="K9" s="914"/>
      <c r="L9" s="914"/>
      <c r="M9" s="915"/>
    </row>
    <row r="10" spans="1:13" ht="20.2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85" t="s">
        <v>307</v>
      </c>
      <c r="C11" s="476" t="s">
        <v>60</v>
      </c>
      <c r="D11" s="485" t="s">
        <v>307</v>
      </c>
      <c r="E11" s="17" t="s">
        <v>305</v>
      </c>
      <c r="F11" s="485" t="s">
        <v>308</v>
      </c>
      <c r="G11" s="486" t="s">
        <v>60</v>
      </c>
      <c r="H11" s="485" t="s">
        <v>308</v>
      </c>
      <c r="I11" s="17" t="s">
        <v>305</v>
      </c>
      <c r="J11" s="485" t="s">
        <v>309</v>
      </c>
      <c r="K11" s="476" t="s">
        <v>60</v>
      </c>
      <c r="L11" s="485" t="s">
        <v>309</v>
      </c>
      <c r="M11" s="476" t="s">
        <v>305</v>
      </c>
    </row>
    <row r="12" spans="1:13" x14ac:dyDescent="0.25">
      <c r="A12" s="349" t="s">
        <v>81</v>
      </c>
      <c r="B12" s="477">
        <f t="shared" ref="B12:M12" si="0">SUM(B13:B13)</f>
        <v>14662</v>
      </c>
      <c r="C12" s="351">
        <f t="shared" si="0"/>
        <v>219930000</v>
      </c>
      <c r="D12" s="477">
        <f t="shared" si="0"/>
        <v>14314</v>
      </c>
      <c r="E12" s="351">
        <f t="shared" si="0"/>
        <v>154221100</v>
      </c>
      <c r="F12" s="477">
        <f t="shared" si="0"/>
        <v>1218</v>
      </c>
      <c r="G12" s="351">
        <f t="shared" si="0"/>
        <v>12180000</v>
      </c>
      <c r="H12" s="477">
        <f t="shared" si="0"/>
        <v>486</v>
      </c>
      <c r="I12" s="351">
        <f t="shared" si="0"/>
        <v>2465000</v>
      </c>
      <c r="J12" s="477">
        <f t="shared" si="0"/>
        <v>5100</v>
      </c>
      <c r="K12" s="351">
        <f t="shared" si="0"/>
        <v>7956000</v>
      </c>
      <c r="L12" s="350">
        <f t="shared" si="0"/>
        <v>4501</v>
      </c>
      <c r="M12" s="351">
        <f t="shared" si="0"/>
        <v>4329962</v>
      </c>
    </row>
    <row r="13" spans="1:13" s="343" customFormat="1" ht="45" x14ac:dyDescent="0.25">
      <c r="A13" s="238" t="s">
        <v>344</v>
      </c>
      <c r="B13" s="738">
        <v>14662</v>
      </c>
      <c r="C13" s="758">
        <f t="shared" ref="C13" si="1">B13*15000</f>
        <v>219930000</v>
      </c>
      <c r="D13" s="757">
        <v>14314</v>
      </c>
      <c r="E13" s="757">
        <v>154221100</v>
      </c>
      <c r="F13" s="383">
        <v>1218</v>
      </c>
      <c r="G13" s="384">
        <f>F13*10000</f>
        <v>12180000</v>
      </c>
      <c r="H13" s="747">
        <v>486</v>
      </c>
      <c r="I13" s="748">
        <v>2465000</v>
      </c>
      <c r="J13" s="729">
        <v>5100</v>
      </c>
      <c r="K13" s="686">
        <f>J13*1560</f>
        <v>7956000</v>
      </c>
      <c r="L13" s="640">
        <v>4501</v>
      </c>
      <c r="M13" s="641">
        <v>4329962</v>
      </c>
    </row>
    <row r="15" spans="1:13" s="48" customFormat="1" ht="15" customHeight="1" x14ac:dyDescent="0.25">
      <c r="A15" s="906" t="s">
        <v>378</v>
      </c>
      <c r="B15" s="913" t="s">
        <v>16</v>
      </c>
      <c r="C15" s="914"/>
      <c r="D15" s="914"/>
      <c r="E15" s="915"/>
      <c r="F15" s="913" t="s">
        <v>421</v>
      </c>
      <c r="G15" s="914"/>
      <c r="H15" s="914"/>
      <c r="I15" s="915"/>
      <c r="J15" s="913" t="s">
        <v>329</v>
      </c>
      <c r="K15" s="914"/>
      <c r="L15" s="914"/>
      <c r="M15" s="915"/>
    </row>
    <row r="16" spans="1:13" ht="18.75" customHeight="1" x14ac:dyDescent="0.25">
      <c r="A16" s="906"/>
      <c r="B16" s="899" t="s">
        <v>327</v>
      </c>
      <c r="C16" s="899"/>
      <c r="D16" s="900" t="s">
        <v>333</v>
      </c>
      <c r="E16" s="901"/>
      <c r="F16" s="899" t="s">
        <v>327</v>
      </c>
      <c r="G16" s="899"/>
      <c r="H16" s="900" t="s">
        <v>333</v>
      </c>
      <c r="I16" s="901"/>
      <c r="J16" s="899" t="s">
        <v>327</v>
      </c>
      <c r="K16" s="899"/>
      <c r="L16" s="900" t="s">
        <v>333</v>
      </c>
      <c r="M16" s="901"/>
    </row>
    <row r="17" spans="1:13" ht="45" customHeight="1" x14ac:dyDescent="0.25">
      <c r="A17" s="906"/>
      <c r="B17" s="485" t="s">
        <v>330</v>
      </c>
      <c r="C17" s="476" t="s">
        <v>60</v>
      </c>
      <c r="D17" s="485" t="s">
        <v>330</v>
      </c>
      <c r="E17" s="17" t="s">
        <v>305</v>
      </c>
      <c r="F17" s="494" t="s">
        <v>310</v>
      </c>
      <c r="G17" s="476" t="s">
        <v>60</v>
      </c>
      <c r="H17" s="494" t="s">
        <v>310</v>
      </c>
      <c r="I17" s="17" t="s">
        <v>305</v>
      </c>
      <c r="J17" s="494" t="s">
        <v>308</v>
      </c>
      <c r="K17" s="476" t="s">
        <v>60</v>
      </c>
      <c r="L17" s="494" t="s">
        <v>332</v>
      </c>
      <c r="M17" s="17" t="s">
        <v>305</v>
      </c>
    </row>
    <row r="18" spans="1:13" ht="14.45" customHeight="1" x14ac:dyDescent="0.25">
      <c r="A18" s="349" t="s">
        <v>81</v>
      </c>
      <c r="B18" s="477">
        <f t="shared" ref="B18:M18" si="2">SUM(B19:B19)</f>
        <v>567</v>
      </c>
      <c r="C18" s="351">
        <f t="shared" si="2"/>
        <v>3402000</v>
      </c>
      <c r="D18" s="477">
        <f t="shared" si="2"/>
        <v>516</v>
      </c>
      <c r="E18" s="351">
        <f t="shared" si="2"/>
        <v>3096000</v>
      </c>
      <c r="F18" s="477">
        <f t="shared" si="2"/>
        <v>1</v>
      </c>
      <c r="G18" s="351">
        <f t="shared" si="2"/>
        <v>6240000</v>
      </c>
      <c r="H18" s="350">
        <f t="shared" si="2"/>
        <v>0</v>
      </c>
      <c r="I18" s="351">
        <f t="shared" si="2"/>
        <v>0</v>
      </c>
      <c r="J18" s="477">
        <f t="shared" si="2"/>
        <v>0</v>
      </c>
      <c r="K18" s="351">
        <f t="shared" si="2"/>
        <v>0</v>
      </c>
      <c r="L18" s="477">
        <f t="shared" si="2"/>
        <v>1132</v>
      </c>
      <c r="M18" s="351">
        <f t="shared" si="2"/>
        <v>3425000</v>
      </c>
    </row>
    <row r="19" spans="1:13" ht="28.9" customHeight="1" x14ac:dyDescent="0.25">
      <c r="A19" s="83" t="s">
        <v>344</v>
      </c>
      <c r="B19" s="729">
        <v>567</v>
      </c>
      <c r="C19" s="686">
        <f t="shared" ref="C19" si="3">B19*500*12</f>
        <v>3402000</v>
      </c>
      <c r="D19" s="649">
        <v>516</v>
      </c>
      <c r="E19" s="650">
        <f>D19*6000</f>
        <v>3096000</v>
      </c>
      <c r="F19" s="383">
        <f>1</f>
        <v>1</v>
      </c>
      <c r="G19" s="384">
        <f>6240000</f>
        <v>6240000</v>
      </c>
      <c r="H19" s="345"/>
      <c r="I19" s="344"/>
      <c r="J19" s="494"/>
      <c r="K19" s="17"/>
      <c r="L19" s="739">
        <v>1132</v>
      </c>
      <c r="M19" s="740">
        <v>3425000</v>
      </c>
    </row>
    <row r="21" spans="1:13" s="48" customFormat="1" ht="20.25" customHeight="1" x14ac:dyDescent="0.25">
      <c r="A21" s="906" t="s">
        <v>378</v>
      </c>
      <c r="B21" s="913" t="s">
        <v>331</v>
      </c>
      <c r="C21" s="914"/>
      <c r="D21" s="914"/>
      <c r="E21" s="915"/>
      <c r="F21" s="995" t="s">
        <v>81</v>
      </c>
      <c r="G21" s="995"/>
      <c r="H21" s="995"/>
      <c r="I21" s="995"/>
      <c r="J21" s="1003"/>
      <c r="K21" s="1003"/>
      <c r="L21" s="1003"/>
      <c r="M21" s="1003"/>
    </row>
    <row r="22" spans="1:13" ht="20.25" customHeight="1" x14ac:dyDescent="0.25">
      <c r="A22" s="906"/>
      <c r="B22" s="986" t="s">
        <v>327</v>
      </c>
      <c r="C22" s="901"/>
      <c r="D22" s="986" t="s">
        <v>333</v>
      </c>
      <c r="E22" s="901"/>
      <c r="F22" s="899" t="s">
        <v>60</v>
      </c>
      <c r="G22" s="899"/>
      <c r="H22" s="899" t="s">
        <v>305</v>
      </c>
      <c r="I22" s="899"/>
      <c r="J22" s="1004"/>
      <c r="K22" s="1004"/>
      <c r="L22" s="1004"/>
      <c r="M22" s="1004"/>
    </row>
    <row r="23" spans="1:13" ht="45" customHeight="1" x14ac:dyDescent="0.25">
      <c r="A23" s="906"/>
      <c r="B23" s="494" t="s">
        <v>308</v>
      </c>
      <c r="C23" s="495" t="s">
        <v>60</v>
      </c>
      <c r="D23" s="494" t="s">
        <v>253</v>
      </c>
      <c r="E23" s="17" t="s">
        <v>305</v>
      </c>
      <c r="F23" s="899"/>
      <c r="G23" s="899"/>
      <c r="H23" s="899"/>
      <c r="I23" s="899"/>
      <c r="J23" s="1004"/>
      <c r="K23" s="1004"/>
      <c r="L23" s="1004"/>
      <c r="M23" s="1004"/>
    </row>
    <row r="24" spans="1:13" ht="14.45" customHeight="1" x14ac:dyDescent="0.25">
      <c r="A24" s="349" t="s">
        <v>81</v>
      </c>
      <c r="B24" s="477">
        <f>SUM(B25:B25)</f>
        <v>0</v>
      </c>
      <c r="C24" s="351">
        <f>SUM(C25:C25)</f>
        <v>0</v>
      </c>
      <c r="D24" s="477">
        <f>SUM(D25:D25)</f>
        <v>7</v>
      </c>
      <c r="E24" s="351">
        <f>SUM(E25:E25)</f>
        <v>20650</v>
      </c>
      <c r="F24" s="987">
        <f>SUM(F25:F25)</f>
        <v>249708000</v>
      </c>
      <c r="G24" s="987"/>
      <c r="H24" s="987">
        <f>SUM(H25:I25)</f>
        <v>167557712</v>
      </c>
      <c r="I24" s="987"/>
      <c r="J24" s="1005"/>
      <c r="K24" s="1005"/>
      <c r="L24" s="1005"/>
      <c r="M24" s="1005"/>
    </row>
    <row r="25" spans="1:13" ht="28.9" customHeight="1" x14ac:dyDescent="0.25">
      <c r="A25" s="83" t="s">
        <v>344</v>
      </c>
      <c r="B25" s="30"/>
      <c r="C25" s="384"/>
      <c r="D25" s="739">
        <v>7</v>
      </c>
      <c r="E25" s="740">
        <v>20650</v>
      </c>
      <c r="F25" s="961">
        <f>C13+G13+K13+C19+G19+K19+C25</f>
        <v>249708000</v>
      </c>
      <c r="G25" s="961"/>
      <c r="H25" s="961">
        <f>E13+I13+M13+E19+I19+M19+E25</f>
        <v>167557712</v>
      </c>
      <c r="I25" s="961"/>
      <c r="J25" s="994"/>
      <c r="K25" s="994"/>
      <c r="L25" s="994"/>
      <c r="M25" s="994"/>
    </row>
  </sheetData>
  <mergeCells count="43">
    <mergeCell ref="B22:C22"/>
    <mergeCell ref="D22:E22"/>
    <mergeCell ref="F22:G23"/>
    <mergeCell ref="H22:I23"/>
    <mergeCell ref="J24:K24"/>
    <mergeCell ref="L24:M24"/>
    <mergeCell ref="J25:K25"/>
    <mergeCell ref="L25:M25"/>
    <mergeCell ref="F24:G24"/>
    <mergeCell ref="H24:I24"/>
    <mergeCell ref="F25:G25"/>
    <mergeCell ref="H25:I25"/>
    <mergeCell ref="L16:M16"/>
    <mergeCell ref="A21:A23"/>
    <mergeCell ref="F21:I21"/>
    <mergeCell ref="J21:M21"/>
    <mergeCell ref="A15:A17"/>
    <mergeCell ref="B15:E15"/>
    <mergeCell ref="F15:I15"/>
    <mergeCell ref="J15:M15"/>
    <mergeCell ref="B16:C16"/>
    <mergeCell ref="D16:E16"/>
    <mergeCell ref="F16:G16"/>
    <mergeCell ref="H16:I16"/>
    <mergeCell ref="J16:K16"/>
    <mergeCell ref="L22:M23"/>
    <mergeCell ref="J22:K23"/>
    <mergeCell ref="B21:E21"/>
    <mergeCell ref="L10:M10"/>
    <mergeCell ref="A1:M1"/>
    <mergeCell ref="A2:M2"/>
    <mergeCell ref="A3:M3"/>
    <mergeCell ref="A5:M5"/>
    <mergeCell ref="A6:M6"/>
    <mergeCell ref="A9:A11"/>
    <mergeCell ref="B9:E9"/>
    <mergeCell ref="F9:I9"/>
    <mergeCell ref="J9:M9"/>
    <mergeCell ref="B10:C10"/>
    <mergeCell ref="D10:E10"/>
    <mergeCell ref="F10:G10"/>
    <mergeCell ref="H10:I10"/>
    <mergeCell ref="J10:K10"/>
  </mergeCells>
  <pageMargins left="0.84" right="0.15748031496063" top="0.72" bottom="0.74803149606299202" header="0.78740157480314998" footer="0.31496062992126"/>
  <pageSetup paperSize="9" scale="90" orientation="portrait"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J422"/>
  <sheetViews>
    <sheetView topLeftCell="A377" zoomScale="60" zoomScaleNormal="60" workbookViewId="0">
      <selection activeCell="K412" sqref="K412"/>
    </sheetView>
  </sheetViews>
  <sheetFormatPr defaultRowHeight="15" x14ac:dyDescent="0.25"/>
  <cols>
    <col min="1" max="1" width="30.85546875" customWidth="1"/>
    <col min="2" max="2" width="42" customWidth="1"/>
    <col min="3" max="3" width="15.85546875" customWidth="1"/>
    <col min="4" max="4" width="20.28515625" customWidth="1"/>
    <col min="5" max="5" width="10.85546875" customWidth="1"/>
    <col min="6" max="6" width="19.7109375" style="97" customWidth="1"/>
    <col min="7" max="7" width="13.140625" style="396" customWidth="1"/>
    <col min="8" max="8" width="20.28515625" style="90" customWidth="1"/>
    <col min="9" max="9" width="11.140625" customWidth="1"/>
    <col min="10" max="10" width="19.42578125" customWidth="1"/>
  </cols>
  <sheetData>
    <row r="1" spans="1:10" x14ac:dyDescent="0.25">
      <c r="A1" s="858" t="s">
        <v>39</v>
      </c>
      <c r="B1" s="858"/>
      <c r="C1" s="858"/>
      <c r="D1" s="858"/>
      <c r="E1" s="858"/>
      <c r="F1" s="858"/>
      <c r="G1" s="858"/>
      <c r="H1" s="858"/>
      <c r="I1" s="858"/>
      <c r="J1" s="858"/>
    </row>
    <row r="2" spans="1:10" x14ac:dyDescent="0.25">
      <c r="A2" s="858" t="s">
        <v>40</v>
      </c>
      <c r="B2" s="858"/>
      <c r="C2" s="858"/>
      <c r="D2" s="858"/>
      <c r="E2" s="858"/>
      <c r="F2" s="858"/>
      <c r="G2" s="858"/>
      <c r="H2" s="858"/>
      <c r="I2" s="858"/>
      <c r="J2" s="858"/>
    </row>
    <row r="3" spans="1:10" x14ac:dyDescent="0.25">
      <c r="A3" s="415"/>
      <c r="B3" s="415"/>
      <c r="C3" s="415"/>
      <c r="D3" s="415"/>
      <c r="E3" s="415"/>
      <c r="F3" s="415"/>
      <c r="G3" s="415"/>
      <c r="H3" s="415"/>
      <c r="I3" s="415"/>
      <c r="J3" s="415"/>
    </row>
    <row r="4" spans="1:10" s="414" customFormat="1" ht="21" x14ac:dyDescent="0.35">
      <c r="A4" s="866" t="s">
        <v>322</v>
      </c>
      <c r="B4" s="866"/>
      <c r="C4" s="866"/>
      <c r="D4" s="866"/>
      <c r="E4" s="866"/>
      <c r="F4" s="866"/>
      <c r="G4" s="866"/>
      <c r="H4" s="866"/>
      <c r="I4" s="866"/>
      <c r="J4" s="866"/>
    </row>
    <row r="5" spans="1:10" s="48" customFormat="1" x14ac:dyDescent="0.25"/>
    <row r="6" spans="1:10" s="48" customFormat="1" x14ac:dyDescent="0.25">
      <c r="F6" s="91"/>
      <c r="G6" s="444"/>
      <c r="H6" s="445"/>
    </row>
    <row r="7" spans="1:10" s="3" customFormat="1" ht="27.75" customHeight="1" x14ac:dyDescent="0.25">
      <c r="A7" s="859" t="s">
        <v>0</v>
      </c>
      <c r="B7" s="860" t="s">
        <v>51</v>
      </c>
      <c r="C7" s="859" t="s">
        <v>4</v>
      </c>
      <c r="D7" s="862" t="s">
        <v>3</v>
      </c>
      <c r="E7" s="864" t="s">
        <v>324</v>
      </c>
      <c r="F7" s="865"/>
      <c r="G7" s="864" t="s">
        <v>315</v>
      </c>
      <c r="H7" s="865"/>
      <c r="I7" s="919" t="s">
        <v>325</v>
      </c>
      <c r="J7" s="920"/>
    </row>
    <row r="8" spans="1:10" s="3" customFormat="1" ht="21" customHeight="1" x14ac:dyDescent="0.25">
      <c r="A8" s="860"/>
      <c r="B8" s="925"/>
      <c r="C8" s="860"/>
      <c r="D8" s="922"/>
      <c r="E8" s="400" t="s">
        <v>48</v>
      </c>
      <c r="F8" s="403" t="s">
        <v>1</v>
      </c>
      <c r="G8" s="400" t="s">
        <v>48</v>
      </c>
      <c r="H8" s="441" t="s">
        <v>60</v>
      </c>
      <c r="I8" s="400" t="s">
        <v>48</v>
      </c>
      <c r="J8" s="400" t="s">
        <v>60</v>
      </c>
    </row>
    <row r="9" spans="1:10" s="12" customFormat="1" ht="20.25" customHeight="1" x14ac:dyDescent="0.25">
      <c r="A9" s="10" t="s">
        <v>14</v>
      </c>
      <c r="B9" s="10"/>
      <c r="C9" s="11"/>
      <c r="D9" s="11"/>
      <c r="E9" s="14"/>
      <c r="F9" s="92">
        <f>F11+F53+F93+F131+F171+F211+F249+F327</f>
        <v>879603284.81999993</v>
      </c>
      <c r="G9" s="11"/>
      <c r="H9" s="92">
        <f>H11+H53+H93+H131+H171+H211+H249+H366</f>
        <v>1365153162.5599999</v>
      </c>
      <c r="I9" s="11"/>
      <c r="J9" s="92">
        <f>J11+J53+J93+J131+J171+J211+J249+J366</f>
        <v>312378280</v>
      </c>
    </row>
    <row r="10" spans="1:10" s="8" customFormat="1" ht="4.5" customHeight="1" x14ac:dyDescent="0.25">
      <c r="A10" s="7"/>
      <c r="B10" s="7"/>
      <c r="C10" s="7"/>
      <c r="D10" s="7"/>
      <c r="E10" s="7"/>
      <c r="F10" s="93"/>
      <c r="G10" s="7"/>
      <c r="H10" s="93"/>
      <c r="I10" s="7"/>
      <c r="J10" s="7"/>
    </row>
    <row r="11" spans="1:10" s="3" customFormat="1" ht="19.5" customHeight="1" x14ac:dyDescent="0.25">
      <c r="A11" s="926" t="s">
        <v>5</v>
      </c>
      <c r="B11" s="831" t="s">
        <v>50</v>
      </c>
      <c r="C11" s="967" t="s">
        <v>21</v>
      </c>
      <c r="D11" s="155" t="s">
        <v>81</v>
      </c>
      <c r="E11" s="162">
        <f t="shared" ref="E11:J11" si="0">E12+E22+E31+E43</f>
        <v>79644</v>
      </c>
      <c r="F11" s="156">
        <f t="shared" si="0"/>
        <v>776188300</v>
      </c>
      <c r="G11" s="162">
        <f t="shared" si="0"/>
        <v>81474</v>
      </c>
      <c r="H11" s="446">
        <f t="shared" si="0"/>
        <v>1222110000</v>
      </c>
      <c r="I11" s="162">
        <f t="shared" si="0"/>
        <v>78188</v>
      </c>
      <c r="J11" s="156">
        <f t="shared" si="0"/>
        <v>300764500</v>
      </c>
    </row>
    <row r="12" spans="1:10" s="9" customFormat="1" ht="21" customHeight="1" x14ac:dyDescent="0.25">
      <c r="A12" s="927"/>
      <c r="B12" s="832"/>
      <c r="C12" s="968"/>
      <c r="D12" s="70" t="s">
        <v>79</v>
      </c>
      <c r="E12" s="64">
        <f t="shared" ref="E12:J12" si="1">SUM(E13:E21)</f>
        <v>26900</v>
      </c>
      <c r="F12" s="95">
        <f t="shared" si="1"/>
        <v>262167900</v>
      </c>
      <c r="G12" s="63">
        <f t="shared" si="1"/>
        <v>27701</v>
      </c>
      <c r="H12" s="78">
        <f t="shared" si="1"/>
        <v>415515000</v>
      </c>
      <c r="I12" s="63">
        <f t="shared" si="1"/>
        <v>26534</v>
      </c>
      <c r="J12" s="78">
        <f t="shared" si="1"/>
        <v>102251900</v>
      </c>
    </row>
    <row r="13" spans="1:10" s="16" customFormat="1" ht="15" customHeight="1" x14ac:dyDescent="0.25">
      <c r="A13" s="869"/>
      <c r="B13" s="832"/>
      <c r="C13" s="15"/>
      <c r="D13" s="83" t="s">
        <v>118</v>
      </c>
      <c r="E13" s="426">
        <v>2924</v>
      </c>
      <c r="F13" s="440">
        <v>26419200</v>
      </c>
      <c r="G13" s="426">
        <v>3042</v>
      </c>
      <c r="H13" s="100">
        <f t="shared" ref="H13:H21" si="2">G13*15000</f>
        <v>45630000</v>
      </c>
      <c r="I13" s="426">
        <v>2882</v>
      </c>
      <c r="J13" s="100">
        <f>'[1]updated may 7_FMS'!I66</f>
        <v>10994500</v>
      </c>
    </row>
    <row r="14" spans="1:10" s="1" customFormat="1" x14ac:dyDescent="0.25">
      <c r="A14" s="870"/>
      <c r="B14" s="832"/>
      <c r="C14" s="5"/>
      <c r="D14" s="83" t="s">
        <v>119</v>
      </c>
      <c r="E14" s="426">
        <v>3239</v>
      </c>
      <c r="F14" s="440">
        <v>32832700</v>
      </c>
      <c r="G14" s="426">
        <v>3369</v>
      </c>
      <c r="H14" s="100">
        <f t="shared" si="2"/>
        <v>50535000</v>
      </c>
      <c r="I14" s="426">
        <v>3232</v>
      </c>
      <c r="J14" s="100">
        <f>'[1]updated may 7_FMS'!I67</f>
        <v>12926300</v>
      </c>
    </row>
    <row r="15" spans="1:10" s="1" customFormat="1" x14ac:dyDescent="0.25">
      <c r="A15" s="55"/>
      <c r="B15" s="832"/>
      <c r="C15" s="5"/>
      <c r="D15" s="83" t="s">
        <v>120</v>
      </c>
      <c r="E15" s="426">
        <v>5738</v>
      </c>
      <c r="F15" s="440">
        <v>58243800</v>
      </c>
      <c r="G15" s="426">
        <v>5953</v>
      </c>
      <c r="H15" s="100">
        <f t="shared" si="2"/>
        <v>89295000</v>
      </c>
      <c r="I15" s="426">
        <v>5679</v>
      </c>
      <c r="J15" s="100">
        <f>'[1]updated may 7_FMS'!I68</f>
        <v>22400000</v>
      </c>
    </row>
    <row r="16" spans="1:10" s="1" customFormat="1" x14ac:dyDescent="0.25">
      <c r="A16" s="55"/>
      <c r="B16" s="832"/>
      <c r="C16" s="5"/>
      <c r="D16" s="83" t="s">
        <v>121</v>
      </c>
      <c r="E16" s="426">
        <v>1759</v>
      </c>
      <c r="F16" s="440">
        <v>15392800</v>
      </c>
      <c r="G16" s="426">
        <v>1749</v>
      </c>
      <c r="H16" s="100">
        <f t="shared" si="2"/>
        <v>26235000</v>
      </c>
      <c r="I16" s="426">
        <v>1670</v>
      </c>
      <c r="J16" s="100">
        <f>'[1]updated may 7_FMS'!I69</f>
        <v>4918000</v>
      </c>
    </row>
    <row r="17" spans="1:10" s="1" customFormat="1" x14ac:dyDescent="0.25">
      <c r="A17" s="55"/>
      <c r="B17" s="832"/>
      <c r="C17" s="5"/>
      <c r="D17" s="83" t="s">
        <v>122</v>
      </c>
      <c r="E17" s="426">
        <v>791</v>
      </c>
      <c r="F17" s="440">
        <v>8011500</v>
      </c>
      <c r="G17" s="426">
        <v>789</v>
      </c>
      <c r="H17" s="100">
        <f t="shared" si="2"/>
        <v>11835000</v>
      </c>
      <c r="I17" s="426">
        <v>770</v>
      </c>
      <c r="J17" s="100">
        <f>'[1]updated may 7_FMS'!I70</f>
        <v>3011000</v>
      </c>
    </row>
    <row r="18" spans="1:10" s="1" customFormat="1" x14ac:dyDescent="0.25">
      <c r="A18" s="55"/>
      <c r="B18" s="832"/>
      <c r="C18" s="5"/>
      <c r="D18" s="83" t="s">
        <v>123</v>
      </c>
      <c r="E18" s="426">
        <v>2619</v>
      </c>
      <c r="F18" s="440">
        <v>24924200</v>
      </c>
      <c r="G18" s="426">
        <v>2649</v>
      </c>
      <c r="H18" s="100">
        <f t="shared" si="2"/>
        <v>39735000</v>
      </c>
      <c r="I18" s="426">
        <v>2577</v>
      </c>
      <c r="J18" s="100">
        <f>'[1]updated may 7_FMS'!I71</f>
        <v>9675500</v>
      </c>
    </row>
    <row r="19" spans="1:10" s="1" customFormat="1" x14ac:dyDescent="0.25">
      <c r="A19" s="55"/>
      <c r="B19" s="832"/>
      <c r="C19" s="5"/>
      <c r="D19" s="83" t="s">
        <v>124</v>
      </c>
      <c r="E19" s="426">
        <v>2305</v>
      </c>
      <c r="F19" s="440">
        <v>22428200</v>
      </c>
      <c r="G19" s="426">
        <v>2360</v>
      </c>
      <c r="H19" s="100">
        <f t="shared" si="2"/>
        <v>35400000</v>
      </c>
      <c r="I19" s="426">
        <v>2261</v>
      </c>
      <c r="J19" s="100">
        <f>'[1]updated may 7_FMS'!I72</f>
        <v>8852100</v>
      </c>
    </row>
    <row r="20" spans="1:10" s="1" customFormat="1" x14ac:dyDescent="0.25">
      <c r="A20" s="55"/>
      <c r="B20" s="832"/>
      <c r="C20" s="5"/>
      <c r="D20" s="83" t="s">
        <v>125</v>
      </c>
      <c r="E20" s="426">
        <v>5412</v>
      </c>
      <c r="F20" s="440">
        <v>51842400</v>
      </c>
      <c r="G20" s="426">
        <v>5598</v>
      </c>
      <c r="H20" s="100">
        <f t="shared" si="2"/>
        <v>83970000</v>
      </c>
      <c r="I20" s="426">
        <v>5367</v>
      </c>
      <c r="J20" s="100">
        <f>'[1]updated may 7_FMS'!I73</f>
        <v>20991900</v>
      </c>
    </row>
    <row r="21" spans="1:10" s="1" customFormat="1" x14ac:dyDescent="0.25">
      <c r="A21" s="55"/>
      <c r="B21" s="105"/>
      <c r="C21" s="5"/>
      <c r="D21" s="83" t="s">
        <v>126</v>
      </c>
      <c r="E21" s="426">
        <v>2113</v>
      </c>
      <c r="F21" s="440">
        <v>22073100</v>
      </c>
      <c r="G21" s="426">
        <v>2192</v>
      </c>
      <c r="H21" s="100">
        <f t="shared" si="2"/>
        <v>32880000</v>
      </c>
      <c r="I21" s="426">
        <v>2096</v>
      </c>
      <c r="J21" s="100">
        <f>'[1]updated may 7_FMS'!I74</f>
        <v>8482600</v>
      </c>
    </row>
    <row r="22" spans="1:10" s="2" customFormat="1" ht="18" customHeight="1" x14ac:dyDescent="0.25">
      <c r="A22" s="77"/>
      <c r="B22" s="105"/>
      <c r="C22" s="63"/>
      <c r="D22" s="70" t="s">
        <v>80</v>
      </c>
      <c r="E22" s="70">
        <f t="shared" ref="E22:J22" si="3">SUM(E23:E30)</f>
        <v>19011</v>
      </c>
      <c r="F22" s="84">
        <f t="shared" si="3"/>
        <v>177135400</v>
      </c>
      <c r="G22" s="70">
        <f t="shared" si="3"/>
        <v>19337</v>
      </c>
      <c r="H22" s="84">
        <f t="shared" si="3"/>
        <v>290055000</v>
      </c>
      <c r="I22" s="70">
        <f t="shared" si="3"/>
        <v>18407</v>
      </c>
      <c r="J22" s="71">
        <f t="shared" si="3"/>
        <v>66774200</v>
      </c>
    </row>
    <row r="23" spans="1:10" s="2" customFormat="1" ht="14.25" customHeight="1" x14ac:dyDescent="0.25">
      <c r="A23" s="77"/>
      <c r="B23" s="105"/>
      <c r="C23" s="4"/>
      <c r="D23" s="83" t="s">
        <v>127</v>
      </c>
      <c r="E23" s="426">
        <v>2161</v>
      </c>
      <c r="F23" s="440">
        <v>21538900</v>
      </c>
      <c r="G23" s="426">
        <v>2151</v>
      </c>
      <c r="H23" s="100">
        <f t="shared" ref="H23:H30" si="4">G23*15000</f>
        <v>32265000</v>
      </c>
      <c r="I23" s="426">
        <v>1966</v>
      </c>
      <c r="J23" s="100">
        <f>'[1]updated may 7_FMS'!I76</f>
        <v>6096000</v>
      </c>
    </row>
    <row r="24" spans="1:10" s="2" customFormat="1" ht="14.25" customHeight="1" x14ac:dyDescent="0.25">
      <c r="A24" s="77"/>
      <c r="B24" s="105"/>
      <c r="C24" s="4"/>
      <c r="D24" s="83" t="s">
        <v>128</v>
      </c>
      <c r="E24" s="426">
        <v>1526</v>
      </c>
      <c r="F24" s="440">
        <v>14643800</v>
      </c>
      <c r="G24" s="426">
        <v>1609</v>
      </c>
      <c r="H24" s="100">
        <f t="shared" si="4"/>
        <v>24135000</v>
      </c>
      <c r="I24" s="426">
        <v>1521</v>
      </c>
      <c r="J24" s="100">
        <f>'[1]updated may 7_FMS'!I77</f>
        <v>6052200</v>
      </c>
    </row>
    <row r="25" spans="1:10" s="2" customFormat="1" ht="14.25" customHeight="1" x14ac:dyDescent="0.25">
      <c r="A25" s="77"/>
      <c r="B25" s="105"/>
      <c r="C25" s="4"/>
      <c r="D25" s="83" t="s">
        <v>129</v>
      </c>
      <c r="E25" s="426">
        <v>2373</v>
      </c>
      <c r="F25" s="440">
        <v>22665300</v>
      </c>
      <c r="G25" s="426">
        <v>2445</v>
      </c>
      <c r="H25" s="100">
        <f t="shared" si="4"/>
        <v>36675000</v>
      </c>
      <c r="I25" s="426">
        <v>2342</v>
      </c>
      <c r="J25" s="100">
        <f>'[1]updated may 7_FMS'!I78</f>
        <v>9260600</v>
      </c>
    </row>
    <row r="26" spans="1:10" s="2" customFormat="1" ht="14.25" customHeight="1" x14ac:dyDescent="0.25">
      <c r="A26" s="77"/>
      <c r="B26" s="105"/>
      <c r="C26" s="4"/>
      <c r="D26" s="83" t="s">
        <v>130</v>
      </c>
      <c r="E26" s="426">
        <v>1317</v>
      </c>
      <c r="F26" s="440">
        <v>13391900</v>
      </c>
      <c r="G26" s="426">
        <v>1346</v>
      </c>
      <c r="H26" s="100">
        <f t="shared" si="4"/>
        <v>20190000</v>
      </c>
      <c r="I26" s="426">
        <v>1289</v>
      </c>
      <c r="J26" s="100">
        <f>'[1]updated may 7_FMS'!I79</f>
        <v>4933100</v>
      </c>
    </row>
    <row r="27" spans="1:10" s="2" customFormat="1" ht="14.25" customHeight="1" x14ac:dyDescent="0.25">
      <c r="A27" s="77"/>
      <c r="B27" s="105"/>
      <c r="C27" s="4"/>
      <c r="D27" s="83" t="s">
        <v>131</v>
      </c>
      <c r="E27" s="426">
        <v>2102</v>
      </c>
      <c r="F27" s="440">
        <v>22097100</v>
      </c>
      <c r="G27" s="426">
        <v>2176</v>
      </c>
      <c r="H27" s="100">
        <f t="shared" si="4"/>
        <v>32640000</v>
      </c>
      <c r="I27" s="426">
        <v>2083</v>
      </c>
      <c r="J27" s="100">
        <f>'[1]updated may 7_FMS'!I80</f>
        <v>8496200</v>
      </c>
    </row>
    <row r="28" spans="1:10" s="2" customFormat="1" ht="14.25" customHeight="1" x14ac:dyDescent="0.25">
      <c r="A28" s="77"/>
      <c r="B28" s="105"/>
      <c r="C28" s="4"/>
      <c r="D28" s="83" t="s">
        <v>132</v>
      </c>
      <c r="E28" s="426">
        <v>4150</v>
      </c>
      <c r="F28" s="440">
        <v>41742400</v>
      </c>
      <c r="G28" s="426">
        <v>4215</v>
      </c>
      <c r="H28" s="100">
        <f t="shared" si="4"/>
        <v>63225000</v>
      </c>
      <c r="I28" s="426">
        <v>4055</v>
      </c>
      <c r="J28" s="100">
        <f>'[1]updated may 7_FMS'!I81</f>
        <v>15737300</v>
      </c>
    </row>
    <row r="29" spans="1:10" s="2" customFormat="1" ht="14.25" customHeight="1" x14ac:dyDescent="0.25">
      <c r="A29" s="77"/>
      <c r="B29" s="105"/>
      <c r="C29" s="4"/>
      <c r="D29" s="83" t="s">
        <v>133</v>
      </c>
      <c r="E29" s="443">
        <v>3854</v>
      </c>
      <c r="F29" s="440">
        <v>27795100</v>
      </c>
      <c r="G29" s="443">
        <v>3901</v>
      </c>
      <c r="H29" s="100">
        <f t="shared" si="4"/>
        <v>58515000</v>
      </c>
      <c r="I29" s="443">
        <v>3680</v>
      </c>
      <c r="J29" s="100">
        <f>'[1]updated may 7_FMS'!I82</f>
        <v>12215000</v>
      </c>
    </row>
    <row r="30" spans="1:10" s="2" customFormat="1" ht="14.25" customHeight="1" x14ac:dyDescent="0.25">
      <c r="A30" s="77"/>
      <c r="B30" s="105"/>
      <c r="C30" s="4"/>
      <c r="D30" s="83" t="s">
        <v>134</v>
      </c>
      <c r="E30" s="426">
        <v>1528</v>
      </c>
      <c r="F30" s="440">
        <v>13260900</v>
      </c>
      <c r="G30" s="426">
        <v>1494</v>
      </c>
      <c r="H30" s="100">
        <f t="shared" si="4"/>
        <v>22410000</v>
      </c>
      <c r="I30" s="426">
        <v>1471</v>
      </c>
      <c r="J30" s="100">
        <f>'[1]updated may 7_FMS'!I83</f>
        <v>3983800</v>
      </c>
    </row>
    <row r="31" spans="1:10" s="2" customFormat="1" ht="16.5" customHeight="1" x14ac:dyDescent="0.25">
      <c r="A31" s="77"/>
      <c r="B31" s="105"/>
      <c r="C31" s="63"/>
      <c r="D31" s="70" t="s">
        <v>97</v>
      </c>
      <c r="E31" s="70">
        <f t="shared" ref="E31:J31" si="5">SUM(E32:E38)</f>
        <v>17874</v>
      </c>
      <c r="F31" s="84">
        <f t="shared" si="5"/>
        <v>188711500</v>
      </c>
      <c r="G31" s="70">
        <f t="shared" si="5"/>
        <v>18194</v>
      </c>
      <c r="H31" s="84">
        <f t="shared" si="5"/>
        <v>272910000</v>
      </c>
      <c r="I31" s="70">
        <f t="shared" si="5"/>
        <v>17514</v>
      </c>
      <c r="J31" s="71">
        <f t="shared" si="5"/>
        <v>69589000</v>
      </c>
    </row>
    <row r="32" spans="1:10" s="2" customFormat="1" ht="14.25" customHeight="1" x14ac:dyDescent="0.25">
      <c r="A32" s="77"/>
      <c r="B32" s="105"/>
      <c r="C32" s="4"/>
      <c r="D32" s="83" t="s">
        <v>135</v>
      </c>
      <c r="E32" s="426">
        <v>2744</v>
      </c>
      <c r="F32" s="440">
        <v>29252500</v>
      </c>
      <c r="G32" s="426">
        <v>2786</v>
      </c>
      <c r="H32" s="100">
        <f t="shared" ref="H32:H38" si="6">G32*15000</f>
        <v>41790000</v>
      </c>
      <c r="I32" s="426">
        <v>2708</v>
      </c>
      <c r="J32" s="100">
        <f>'[1]updated may 7_FMS'!I85</f>
        <v>11100600</v>
      </c>
    </row>
    <row r="33" spans="1:10" s="2" customFormat="1" ht="14.25" customHeight="1" x14ac:dyDescent="0.25">
      <c r="A33" s="77"/>
      <c r="B33" s="105"/>
      <c r="C33" s="4"/>
      <c r="D33" s="83" t="s">
        <v>136</v>
      </c>
      <c r="E33" s="426">
        <v>6361</v>
      </c>
      <c r="F33" s="440">
        <v>67422000</v>
      </c>
      <c r="G33" s="426">
        <v>6475</v>
      </c>
      <c r="H33" s="100">
        <f t="shared" si="6"/>
        <v>97125000</v>
      </c>
      <c r="I33" s="426">
        <v>6224</v>
      </c>
      <c r="J33" s="100">
        <f>'[1]updated may 7_FMS'!I86</f>
        <v>25063500</v>
      </c>
    </row>
    <row r="34" spans="1:10" s="2" customFormat="1" ht="14.25" customHeight="1" x14ac:dyDescent="0.25">
      <c r="A34" s="77"/>
      <c r="B34" s="105"/>
      <c r="C34" s="4"/>
      <c r="D34" s="83" t="s">
        <v>137</v>
      </c>
      <c r="E34" s="426">
        <v>1950</v>
      </c>
      <c r="F34" s="440">
        <v>20443900</v>
      </c>
      <c r="G34" s="426">
        <v>1959</v>
      </c>
      <c r="H34" s="100">
        <f t="shared" si="6"/>
        <v>29385000</v>
      </c>
      <c r="I34" s="426">
        <v>1821</v>
      </c>
      <c r="J34" s="100">
        <f>'[1]updated may 7_FMS'!I87</f>
        <v>5914100</v>
      </c>
    </row>
    <row r="35" spans="1:10" s="2" customFormat="1" ht="14.25" customHeight="1" x14ac:dyDescent="0.25">
      <c r="A35" s="77"/>
      <c r="B35" s="105"/>
      <c r="C35" s="4"/>
      <c r="D35" s="83" t="s">
        <v>138</v>
      </c>
      <c r="E35" s="426">
        <v>1720</v>
      </c>
      <c r="F35" s="440">
        <v>17596900</v>
      </c>
      <c r="G35" s="426">
        <v>1815</v>
      </c>
      <c r="H35" s="100">
        <f t="shared" si="6"/>
        <v>27225000</v>
      </c>
      <c r="I35" s="426">
        <v>1720</v>
      </c>
      <c r="J35" s="100">
        <f>'[1]updated may 7_FMS'!I88</f>
        <v>6987700</v>
      </c>
    </row>
    <row r="36" spans="1:10" s="2" customFormat="1" ht="14.25" customHeight="1" x14ac:dyDescent="0.25">
      <c r="A36" s="77"/>
      <c r="B36" s="105"/>
      <c r="C36" s="4"/>
      <c r="D36" s="83" t="s">
        <v>139</v>
      </c>
      <c r="E36" s="426">
        <v>2182</v>
      </c>
      <c r="F36" s="440">
        <v>24649500</v>
      </c>
      <c r="G36" s="426">
        <v>2195</v>
      </c>
      <c r="H36" s="100">
        <f t="shared" si="6"/>
        <v>32925000</v>
      </c>
      <c r="I36" s="426">
        <v>2166</v>
      </c>
      <c r="J36" s="100">
        <f>'[1]updated may 7_FMS'!I89</f>
        <v>9052400</v>
      </c>
    </row>
    <row r="37" spans="1:10" s="2" customFormat="1" ht="14.25" customHeight="1" x14ac:dyDescent="0.25">
      <c r="A37" s="104"/>
      <c r="B37" s="105"/>
      <c r="C37" s="4"/>
      <c r="D37" s="83" t="s">
        <v>140</v>
      </c>
      <c r="E37" s="426">
        <v>1293</v>
      </c>
      <c r="F37" s="440">
        <v>13941500</v>
      </c>
      <c r="G37" s="426">
        <v>1303</v>
      </c>
      <c r="H37" s="100">
        <f t="shared" si="6"/>
        <v>19545000</v>
      </c>
      <c r="I37" s="426">
        <v>1268</v>
      </c>
      <c r="J37" s="100">
        <f>'[1]updated may 7_FMS'!I90</f>
        <v>5171800</v>
      </c>
    </row>
    <row r="38" spans="1:10" s="2" customFormat="1" ht="14.25" customHeight="1" x14ac:dyDescent="0.25">
      <c r="A38" s="153"/>
      <c r="B38" s="106"/>
      <c r="C38" s="4"/>
      <c r="D38" s="83" t="s">
        <v>141</v>
      </c>
      <c r="E38" s="426">
        <v>1624</v>
      </c>
      <c r="F38" s="440">
        <v>15405200</v>
      </c>
      <c r="G38" s="426">
        <v>1661</v>
      </c>
      <c r="H38" s="100">
        <f t="shared" si="6"/>
        <v>24915000</v>
      </c>
      <c r="I38" s="426">
        <v>1607</v>
      </c>
      <c r="J38" s="100">
        <f>'[1]updated may 7_FMS'!I91</f>
        <v>6298900</v>
      </c>
    </row>
    <row r="39" spans="1:10" s="51" customFormat="1" ht="14.25" customHeight="1" x14ac:dyDescent="0.25">
      <c r="A39" s="115"/>
      <c r="B39" s="50"/>
      <c r="D39" s="116"/>
      <c r="E39" s="117"/>
      <c r="F39" s="118"/>
      <c r="H39" s="58"/>
      <c r="J39" s="58"/>
    </row>
    <row r="40" spans="1:10" s="51" customFormat="1" ht="14.25" customHeight="1" x14ac:dyDescent="0.25">
      <c r="A40" s="115"/>
      <c r="B40" s="50"/>
      <c r="D40" s="116"/>
      <c r="E40" s="117"/>
      <c r="F40" s="118"/>
      <c r="H40" s="58"/>
      <c r="J40" s="58"/>
    </row>
    <row r="41" spans="1:10" s="51" customFormat="1" ht="14.25" customHeight="1" x14ac:dyDescent="0.25">
      <c r="A41" s="115"/>
      <c r="B41" s="50"/>
      <c r="D41" s="116"/>
      <c r="E41" s="117"/>
      <c r="F41" s="118"/>
      <c r="H41" s="58"/>
      <c r="J41" s="58"/>
    </row>
    <row r="42" spans="1:10" s="51" customFormat="1" ht="14.25" customHeight="1" x14ac:dyDescent="0.25">
      <c r="A42" s="115"/>
      <c r="B42" s="50"/>
      <c r="D42" s="116"/>
      <c r="E42" s="117"/>
      <c r="F42" s="118"/>
      <c r="H42" s="58"/>
      <c r="J42" s="58"/>
    </row>
    <row r="43" spans="1:10" s="2" customFormat="1" ht="19.5" customHeight="1" x14ac:dyDescent="0.25">
      <c r="A43" s="77"/>
      <c r="B43" s="105"/>
      <c r="C43" s="67"/>
      <c r="D43" s="70" t="s">
        <v>98</v>
      </c>
      <c r="E43" s="70">
        <f t="shared" ref="E43:J43" si="7">SUM(E44:E51)</f>
        <v>15859</v>
      </c>
      <c r="F43" s="84">
        <f t="shared" si="7"/>
        <v>148173500</v>
      </c>
      <c r="G43" s="70">
        <f t="shared" si="7"/>
        <v>16242</v>
      </c>
      <c r="H43" s="84">
        <f t="shared" si="7"/>
        <v>243630000</v>
      </c>
      <c r="I43" s="70">
        <f t="shared" si="7"/>
        <v>15733</v>
      </c>
      <c r="J43" s="71">
        <f t="shared" si="7"/>
        <v>62149400</v>
      </c>
    </row>
    <row r="44" spans="1:10" s="2" customFormat="1" ht="14.25" customHeight="1" x14ac:dyDescent="0.25">
      <c r="A44" s="77"/>
      <c r="B44" s="105"/>
      <c r="C44" s="4"/>
      <c r="D44" s="83" t="s">
        <v>142</v>
      </c>
      <c r="E44" s="426">
        <v>2396</v>
      </c>
      <c r="F44" s="440">
        <v>22133400</v>
      </c>
      <c r="G44" s="426">
        <v>2479</v>
      </c>
      <c r="H44" s="100">
        <f t="shared" ref="H44:H51" si="8">G44*15000</f>
        <v>37185000</v>
      </c>
      <c r="I44" s="426">
        <v>2372</v>
      </c>
      <c r="J44" s="100">
        <f>'[1]updated may 7_FMS'!I93</f>
        <v>9359500</v>
      </c>
    </row>
    <row r="45" spans="1:10" s="2" customFormat="1" ht="14.25" customHeight="1" x14ac:dyDescent="0.25">
      <c r="A45" s="77"/>
      <c r="B45" s="105"/>
      <c r="C45" s="4"/>
      <c r="D45" s="83" t="s">
        <v>143</v>
      </c>
      <c r="E45" s="426">
        <v>1854</v>
      </c>
      <c r="F45" s="440">
        <v>19356300</v>
      </c>
      <c r="G45" s="426">
        <v>1874</v>
      </c>
      <c r="H45" s="100">
        <f t="shared" si="8"/>
        <v>28110000</v>
      </c>
      <c r="I45" s="426">
        <v>1837</v>
      </c>
      <c r="J45" s="100">
        <f>'[1]updated may 7_FMS'!I94</f>
        <v>7526300</v>
      </c>
    </row>
    <row r="46" spans="1:10" s="2" customFormat="1" ht="14.25" customHeight="1" x14ac:dyDescent="0.25">
      <c r="A46" s="77"/>
      <c r="B46" s="105"/>
      <c r="C46" s="4"/>
      <c r="D46" s="83" t="s">
        <v>144</v>
      </c>
      <c r="E46" s="426">
        <v>1181</v>
      </c>
      <c r="F46" s="440">
        <v>11951100</v>
      </c>
      <c r="G46" s="426">
        <v>1201</v>
      </c>
      <c r="H46" s="100">
        <f t="shared" si="8"/>
        <v>18015000</v>
      </c>
      <c r="I46" s="426">
        <v>1175</v>
      </c>
      <c r="J46" s="100">
        <f>'[1]updated may 7_FMS'!I95</f>
        <v>4826200</v>
      </c>
    </row>
    <row r="47" spans="1:10" s="2" customFormat="1" ht="14.25" customHeight="1" x14ac:dyDescent="0.25">
      <c r="A47" s="77"/>
      <c r="B47" s="105"/>
      <c r="C47" s="4"/>
      <c r="D47" s="83" t="s">
        <v>145</v>
      </c>
      <c r="E47" s="426">
        <v>3764</v>
      </c>
      <c r="F47" s="440">
        <v>35093500</v>
      </c>
      <c r="G47" s="426">
        <v>3876</v>
      </c>
      <c r="H47" s="100">
        <f t="shared" si="8"/>
        <v>58140000</v>
      </c>
      <c r="I47" s="426">
        <v>3750</v>
      </c>
      <c r="J47" s="100">
        <f>'[1]updated may 7_FMS'!I96</f>
        <v>14780200</v>
      </c>
    </row>
    <row r="48" spans="1:10" s="2" customFormat="1" ht="14.25" customHeight="1" x14ac:dyDescent="0.25">
      <c r="A48" s="77"/>
      <c r="B48" s="105"/>
      <c r="C48" s="4"/>
      <c r="D48" s="83" t="s">
        <v>146</v>
      </c>
      <c r="E48" s="426">
        <v>636</v>
      </c>
      <c r="F48" s="440">
        <v>6269500</v>
      </c>
      <c r="G48" s="426">
        <v>654</v>
      </c>
      <c r="H48" s="100">
        <f t="shared" si="8"/>
        <v>9810000</v>
      </c>
      <c r="I48" s="426">
        <v>630</v>
      </c>
      <c r="J48" s="100">
        <f>'[1]updated may 7_FMS'!I97</f>
        <v>2595100</v>
      </c>
    </row>
    <row r="49" spans="1:10" s="2" customFormat="1" ht="14.25" customHeight="1" x14ac:dyDescent="0.25">
      <c r="A49" s="77"/>
      <c r="B49" s="105"/>
      <c r="C49" s="4"/>
      <c r="D49" s="83" t="s">
        <v>147</v>
      </c>
      <c r="E49" s="426">
        <v>2877</v>
      </c>
      <c r="F49" s="440">
        <v>25773300</v>
      </c>
      <c r="G49" s="426">
        <v>2937</v>
      </c>
      <c r="H49" s="100">
        <f t="shared" si="8"/>
        <v>44055000</v>
      </c>
      <c r="I49" s="426">
        <v>2848</v>
      </c>
      <c r="J49" s="100">
        <f>'[1]updated may 7_FMS'!I98</f>
        <v>10909700</v>
      </c>
    </row>
    <row r="50" spans="1:10" s="2" customFormat="1" ht="14.25" customHeight="1" x14ac:dyDescent="0.25">
      <c r="A50" s="77"/>
      <c r="B50" s="105"/>
      <c r="C50" s="4"/>
      <c r="D50" s="83" t="s">
        <v>148</v>
      </c>
      <c r="E50" s="426">
        <v>1392</v>
      </c>
      <c r="F50" s="440">
        <v>11192200</v>
      </c>
      <c r="G50" s="426">
        <v>1413</v>
      </c>
      <c r="H50" s="100">
        <f t="shared" si="8"/>
        <v>21195000</v>
      </c>
      <c r="I50" s="426">
        <v>1380</v>
      </c>
      <c r="J50" s="100">
        <f>'[1]updated may 7_FMS'!I99</f>
        <v>5185000</v>
      </c>
    </row>
    <row r="51" spans="1:10" s="2" customFormat="1" ht="14.25" customHeight="1" x14ac:dyDescent="0.25">
      <c r="A51" s="77"/>
      <c r="B51" s="105"/>
      <c r="C51" s="4"/>
      <c r="D51" s="83" t="s">
        <v>149</v>
      </c>
      <c r="E51" s="426">
        <v>1759</v>
      </c>
      <c r="F51" s="440">
        <v>16404200</v>
      </c>
      <c r="G51" s="426">
        <v>1808</v>
      </c>
      <c r="H51" s="100">
        <f t="shared" si="8"/>
        <v>27120000</v>
      </c>
      <c r="I51" s="426">
        <v>1741</v>
      </c>
      <c r="J51" s="100">
        <f>'[1]updated may 7_FMS'!I100</f>
        <v>6967400</v>
      </c>
    </row>
    <row r="52" spans="1:10" s="8" customFormat="1" ht="4.5" customHeight="1" x14ac:dyDescent="0.25">
      <c r="A52" s="7"/>
      <c r="B52" s="7"/>
      <c r="C52" s="7"/>
      <c r="D52" s="7"/>
      <c r="E52" s="7"/>
      <c r="F52" s="93"/>
      <c r="G52" s="7"/>
      <c r="H52" s="93"/>
      <c r="I52" s="7"/>
      <c r="J52" s="7"/>
    </row>
    <row r="53" spans="1:10" s="9" customFormat="1" ht="18" customHeight="1" x14ac:dyDescent="0.25">
      <c r="A53" s="926" t="s">
        <v>61</v>
      </c>
      <c r="B53" s="831" t="s">
        <v>62</v>
      </c>
      <c r="C53" s="967" t="s">
        <v>21</v>
      </c>
      <c r="D53" s="155" t="s">
        <v>81</v>
      </c>
      <c r="E53" s="161">
        <f t="shared" ref="E53:J53" si="9">E54+E64+E73+E83</f>
        <v>881</v>
      </c>
      <c r="F53" s="158">
        <f t="shared" si="9"/>
        <v>3476400</v>
      </c>
      <c r="G53" s="161">
        <f t="shared" si="9"/>
        <v>0</v>
      </c>
      <c r="H53" s="158">
        <f t="shared" si="9"/>
        <v>0</v>
      </c>
      <c r="I53" s="161">
        <f t="shared" si="9"/>
        <v>0</v>
      </c>
      <c r="J53" s="158">
        <f t="shared" si="9"/>
        <v>0</v>
      </c>
    </row>
    <row r="54" spans="1:10" s="9" customFormat="1" ht="21.75" customHeight="1" x14ac:dyDescent="0.25">
      <c r="A54" s="927"/>
      <c r="B54" s="832"/>
      <c r="C54" s="968"/>
      <c r="D54" s="70" t="s">
        <v>79</v>
      </c>
      <c r="E54" s="64">
        <f t="shared" ref="E54:J54" si="10">SUM(E55:E63)</f>
        <v>46</v>
      </c>
      <c r="F54" s="78">
        <f t="shared" si="10"/>
        <v>226600</v>
      </c>
      <c r="G54" s="63">
        <f t="shared" si="10"/>
        <v>0</v>
      </c>
      <c r="H54" s="78">
        <f t="shared" si="10"/>
        <v>0</v>
      </c>
      <c r="I54" s="63">
        <f t="shared" si="10"/>
        <v>0</v>
      </c>
      <c r="J54" s="78">
        <f t="shared" si="10"/>
        <v>0</v>
      </c>
    </row>
    <row r="55" spans="1:10" s="16" customFormat="1" ht="15" customHeight="1" x14ac:dyDescent="0.25">
      <c r="A55" s="869"/>
      <c r="B55" s="832"/>
      <c r="C55" s="15"/>
      <c r="D55" s="83" t="s">
        <v>118</v>
      </c>
      <c r="E55" s="44">
        <v>18</v>
      </c>
      <c r="F55" s="41">
        <v>92800</v>
      </c>
      <c r="G55" s="410"/>
      <c r="H55" s="53"/>
      <c r="I55" s="410"/>
      <c r="J55" s="53"/>
    </row>
    <row r="56" spans="1:10" s="1" customFormat="1" x14ac:dyDescent="0.25">
      <c r="A56" s="870"/>
      <c r="B56" s="832"/>
      <c r="C56" s="5"/>
      <c r="D56" s="83" t="s">
        <v>119</v>
      </c>
      <c r="E56" s="44"/>
      <c r="F56" s="38"/>
      <c r="G56" s="20"/>
      <c r="H56" s="17"/>
      <c r="I56" s="20"/>
      <c r="J56" s="17"/>
    </row>
    <row r="57" spans="1:10" s="1" customFormat="1" x14ac:dyDescent="0.25">
      <c r="A57" s="55"/>
      <c r="B57" s="832"/>
      <c r="C57" s="5"/>
      <c r="D57" s="83" t="s">
        <v>120</v>
      </c>
      <c r="E57" s="44"/>
      <c r="F57" s="39"/>
      <c r="G57" s="20"/>
      <c r="H57" s="17"/>
      <c r="I57" s="20"/>
      <c r="J57" s="17"/>
    </row>
    <row r="58" spans="1:10" s="1" customFormat="1" x14ac:dyDescent="0.25">
      <c r="A58" s="55"/>
      <c r="B58" s="832"/>
      <c r="C58" s="5"/>
      <c r="D58" s="83" t="s">
        <v>121</v>
      </c>
      <c r="E58" s="44"/>
      <c r="F58" s="39"/>
      <c r="G58" s="20"/>
      <c r="H58" s="17"/>
      <c r="I58" s="20"/>
      <c r="J58" s="17"/>
    </row>
    <row r="59" spans="1:10" s="1" customFormat="1" x14ac:dyDescent="0.25">
      <c r="A59" s="55"/>
      <c r="B59" s="832"/>
      <c r="C59" s="5"/>
      <c r="D59" s="83" t="s">
        <v>122</v>
      </c>
      <c r="E59" s="44"/>
      <c r="F59" s="39"/>
      <c r="G59" s="20"/>
      <c r="H59" s="17"/>
      <c r="I59" s="20"/>
      <c r="J59" s="17"/>
    </row>
    <row r="60" spans="1:10" s="1" customFormat="1" x14ac:dyDescent="0.25">
      <c r="A60" s="55"/>
      <c r="B60" s="832"/>
      <c r="C60" s="5"/>
      <c r="D60" s="83" t="s">
        <v>123</v>
      </c>
      <c r="E60" s="44">
        <v>3</v>
      </c>
      <c r="F60" s="40">
        <v>9000</v>
      </c>
      <c r="G60" s="20"/>
      <c r="H60" s="17"/>
      <c r="I60" s="20"/>
      <c r="J60" s="17"/>
    </row>
    <row r="61" spans="1:10" s="1" customFormat="1" x14ac:dyDescent="0.25">
      <c r="A61" s="55"/>
      <c r="B61" s="832"/>
      <c r="C61" s="5"/>
      <c r="D61" s="83" t="s">
        <v>124</v>
      </c>
      <c r="E61" s="44">
        <v>3</v>
      </c>
      <c r="F61" s="40">
        <v>16800</v>
      </c>
      <c r="G61" s="20"/>
      <c r="H61" s="17"/>
      <c r="I61" s="20"/>
      <c r="J61" s="17"/>
    </row>
    <row r="62" spans="1:10" s="1" customFormat="1" x14ac:dyDescent="0.25">
      <c r="A62" s="55"/>
      <c r="B62" s="105"/>
      <c r="C62" s="5"/>
      <c r="D62" s="83" t="s">
        <v>125</v>
      </c>
      <c r="E62" s="44">
        <v>11</v>
      </c>
      <c r="F62" s="40">
        <v>56800</v>
      </c>
      <c r="G62" s="20"/>
      <c r="H62" s="17"/>
      <c r="I62" s="20"/>
      <c r="J62" s="17"/>
    </row>
    <row r="63" spans="1:10" s="1" customFormat="1" x14ac:dyDescent="0.25">
      <c r="A63" s="55"/>
      <c r="B63" s="105"/>
      <c r="C63" s="5"/>
      <c r="D63" s="83" t="s">
        <v>126</v>
      </c>
      <c r="E63" s="44">
        <v>11</v>
      </c>
      <c r="F63" s="40">
        <v>51200</v>
      </c>
      <c r="G63" s="20"/>
      <c r="H63" s="17"/>
      <c r="I63" s="20"/>
      <c r="J63" s="17"/>
    </row>
    <row r="64" spans="1:10" s="2" customFormat="1" ht="15" customHeight="1" x14ac:dyDescent="0.25">
      <c r="A64" s="77"/>
      <c r="B64" s="105"/>
      <c r="C64" s="63"/>
      <c r="D64" s="70" t="s">
        <v>80</v>
      </c>
      <c r="E64" s="70">
        <f t="shared" ref="E64:J64" si="11">SUM(E65:E72)</f>
        <v>88</v>
      </c>
      <c r="F64" s="84">
        <f t="shared" si="11"/>
        <v>381500</v>
      </c>
      <c r="G64" s="70">
        <f t="shared" si="11"/>
        <v>0</v>
      </c>
      <c r="H64" s="84">
        <f t="shared" si="11"/>
        <v>0</v>
      </c>
      <c r="I64" s="70">
        <f t="shared" si="11"/>
        <v>0</v>
      </c>
      <c r="J64" s="71">
        <f t="shared" si="11"/>
        <v>0</v>
      </c>
    </row>
    <row r="65" spans="1:10" s="2" customFormat="1" ht="14.25" customHeight="1" x14ac:dyDescent="0.25">
      <c r="A65" s="77"/>
      <c r="B65" s="105"/>
      <c r="C65" s="4"/>
      <c r="D65" s="83" t="s">
        <v>127</v>
      </c>
      <c r="E65" s="30"/>
      <c r="F65" s="37"/>
      <c r="G65" s="395"/>
      <c r="H65" s="17"/>
      <c r="I65" s="395"/>
      <c r="J65" s="17"/>
    </row>
    <row r="66" spans="1:10" s="2" customFormat="1" ht="14.25" customHeight="1" x14ac:dyDescent="0.25">
      <c r="A66" s="77"/>
      <c r="B66" s="105"/>
      <c r="C66" s="4"/>
      <c r="D66" s="83" t="s">
        <v>128</v>
      </c>
      <c r="E66" s="30"/>
      <c r="F66" s="37"/>
      <c r="G66" s="395"/>
      <c r="H66" s="17"/>
      <c r="I66" s="395"/>
      <c r="J66" s="17"/>
    </row>
    <row r="67" spans="1:10" s="2" customFormat="1" ht="14.25" customHeight="1" x14ac:dyDescent="0.25">
      <c r="A67" s="77"/>
      <c r="B67" s="105"/>
      <c r="C67" s="4"/>
      <c r="D67" s="83" t="s">
        <v>129</v>
      </c>
      <c r="E67" s="30"/>
      <c r="F67" s="37"/>
      <c r="G67" s="395"/>
      <c r="H67" s="17"/>
      <c r="I67" s="395"/>
      <c r="J67" s="17"/>
    </row>
    <row r="68" spans="1:10" s="2" customFormat="1" ht="14.25" customHeight="1" x14ac:dyDescent="0.25">
      <c r="A68" s="77"/>
      <c r="B68" s="105"/>
      <c r="C68" s="4"/>
      <c r="D68" s="83" t="s">
        <v>130</v>
      </c>
      <c r="E68" s="30">
        <v>42</v>
      </c>
      <c r="F68" s="37">
        <v>184400</v>
      </c>
      <c r="G68" s="395"/>
      <c r="H68" s="17"/>
      <c r="I68" s="395"/>
      <c r="J68" s="17"/>
    </row>
    <row r="69" spans="1:10" s="2" customFormat="1" ht="14.25" customHeight="1" x14ac:dyDescent="0.25">
      <c r="A69" s="77"/>
      <c r="B69" s="105"/>
      <c r="C69" s="4"/>
      <c r="D69" s="83" t="s">
        <v>131</v>
      </c>
      <c r="E69" s="30">
        <v>9</v>
      </c>
      <c r="F69" s="37">
        <v>30200</v>
      </c>
      <c r="G69" s="395"/>
      <c r="H69" s="17"/>
      <c r="I69" s="395"/>
      <c r="J69" s="17"/>
    </row>
    <row r="70" spans="1:10" s="2" customFormat="1" ht="14.25" customHeight="1" x14ac:dyDescent="0.25">
      <c r="A70" s="77"/>
      <c r="B70" s="105"/>
      <c r="C70" s="4"/>
      <c r="D70" s="83" t="s">
        <v>132</v>
      </c>
      <c r="E70" s="30">
        <v>34</v>
      </c>
      <c r="F70" s="37">
        <v>160300</v>
      </c>
      <c r="G70" s="395"/>
      <c r="H70" s="17"/>
      <c r="I70" s="395"/>
      <c r="J70" s="17"/>
    </row>
    <row r="71" spans="1:10" s="2" customFormat="1" ht="14.25" customHeight="1" x14ac:dyDescent="0.25">
      <c r="A71" s="77"/>
      <c r="B71" s="105"/>
      <c r="C71" s="4"/>
      <c r="D71" s="83" t="s">
        <v>133</v>
      </c>
      <c r="E71" s="30">
        <v>3</v>
      </c>
      <c r="F71" s="37">
        <v>6600</v>
      </c>
      <c r="G71" s="395"/>
      <c r="H71" s="17"/>
      <c r="I71" s="395"/>
      <c r="J71" s="17"/>
    </row>
    <row r="72" spans="1:10" s="2" customFormat="1" ht="14.25" customHeight="1" x14ac:dyDescent="0.25">
      <c r="A72" s="77"/>
      <c r="B72" s="105"/>
      <c r="C72" s="4"/>
      <c r="D72" s="83" t="s">
        <v>134</v>
      </c>
      <c r="E72" s="30"/>
      <c r="F72" s="37"/>
      <c r="G72" s="395"/>
      <c r="H72" s="17"/>
      <c r="I72" s="395"/>
      <c r="J72" s="17"/>
    </row>
    <row r="73" spans="1:10" s="2" customFormat="1" ht="18" customHeight="1" x14ac:dyDescent="0.25">
      <c r="A73" s="77"/>
      <c r="B73" s="105"/>
      <c r="C73" s="63"/>
      <c r="D73" s="70" t="s">
        <v>97</v>
      </c>
      <c r="E73" s="70">
        <f t="shared" ref="E73:J73" si="12">SUM(E74:E80)</f>
        <v>612</v>
      </c>
      <c r="F73" s="84">
        <f t="shared" si="12"/>
        <v>2656300</v>
      </c>
      <c r="G73" s="70">
        <f t="shared" si="12"/>
        <v>0</v>
      </c>
      <c r="H73" s="84">
        <f t="shared" si="12"/>
        <v>0</v>
      </c>
      <c r="I73" s="70">
        <f t="shared" si="12"/>
        <v>0</v>
      </c>
      <c r="J73" s="71">
        <f t="shared" si="12"/>
        <v>0</v>
      </c>
    </row>
    <row r="74" spans="1:10" s="2" customFormat="1" ht="14.25" customHeight="1" x14ac:dyDescent="0.25">
      <c r="A74" s="77"/>
      <c r="B74" s="105"/>
      <c r="C74" s="4"/>
      <c r="D74" s="83" t="s">
        <v>135</v>
      </c>
      <c r="E74" s="30">
        <v>40</v>
      </c>
      <c r="F74" s="37">
        <v>110200</v>
      </c>
      <c r="G74" s="395"/>
      <c r="H74" s="17"/>
      <c r="I74" s="395"/>
      <c r="J74" s="17"/>
    </row>
    <row r="75" spans="1:10" s="2" customFormat="1" ht="14.25" customHeight="1" x14ac:dyDescent="0.25">
      <c r="A75" s="77"/>
      <c r="B75" s="105"/>
      <c r="C75" s="4"/>
      <c r="D75" s="83" t="s">
        <v>136</v>
      </c>
      <c r="E75" s="30">
        <v>562</v>
      </c>
      <c r="F75" s="37">
        <v>2500500</v>
      </c>
      <c r="G75" s="395"/>
      <c r="H75" s="17"/>
      <c r="I75" s="395"/>
      <c r="J75" s="17"/>
    </row>
    <row r="76" spans="1:10" s="2" customFormat="1" ht="14.25" customHeight="1" x14ac:dyDescent="0.25">
      <c r="A76" s="77"/>
      <c r="B76" s="105"/>
      <c r="C76" s="4"/>
      <c r="D76" s="83" t="s">
        <v>137</v>
      </c>
      <c r="E76" s="30"/>
      <c r="F76" s="37"/>
      <c r="G76" s="395"/>
      <c r="H76" s="17"/>
      <c r="I76" s="395"/>
      <c r="J76" s="17"/>
    </row>
    <row r="77" spans="1:10" s="2" customFormat="1" ht="14.25" customHeight="1" x14ac:dyDescent="0.25">
      <c r="A77" s="77"/>
      <c r="B77" s="105"/>
      <c r="C77" s="4"/>
      <c r="D77" s="83" t="s">
        <v>138</v>
      </c>
      <c r="E77" s="30">
        <v>10</v>
      </c>
      <c r="F77" s="37">
        <v>45600</v>
      </c>
      <c r="G77" s="395"/>
      <c r="H77" s="17"/>
      <c r="I77" s="395"/>
      <c r="J77" s="17"/>
    </row>
    <row r="78" spans="1:10" s="2" customFormat="1" ht="14.25" customHeight="1" x14ac:dyDescent="0.25">
      <c r="A78" s="77"/>
      <c r="B78" s="105"/>
      <c r="C78" s="4"/>
      <c r="D78" s="83" t="s">
        <v>139</v>
      </c>
      <c r="E78" s="30"/>
      <c r="F78" s="37"/>
      <c r="G78" s="395"/>
      <c r="H78" s="17"/>
      <c r="I78" s="395"/>
      <c r="J78" s="17"/>
    </row>
    <row r="79" spans="1:10" s="2" customFormat="1" ht="14.25" customHeight="1" x14ac:dyDescent="0.25">
      <c r="A79" s="77"/>
      <c r="B79" s="105"/>
      <c r="C79" s="4"/>
      <c r="D79" s="83" t="s">
        <v>140</v>
      </c>
      <c r="E79" s="30"/>
      <c r="F79" s="37"/>
      <c r="G79" s="395"/>
      <c r="H79" s="17"/>
      <c r="I79" s="395"/>
      <c r="J79" s="17"/>
    </row>
    <row r="80" spans="1:10" s="2" customFormat="1" ht="14.25" customHeight="1" x14ac:dyDescent="0.25">
      <c r="A80" s="153"/>
      <c r="B80" s="106"/>
      <c r="C80" s="4"/>
      <c r="D80" s="83" t="s">
        <v>141</v>
      </c>
      <c r="E80" s="30"/>
      <c r="F80" s="37"/>
      <c r="G80" s="407"/>
      <c r="H80" s="145"/>
      <c r="I80" s="407"/>
      <c r="J80" s="145"/>
    </row>
    <row r="81" spans="1:10" s="51" customFormat="1" ht="14.25" customHeight="1" x14ac:dyDescent="0.25">
      <c r="A81" s="115"/>
      <c r="B81" s="105"/>
      <c r="D81" s="116"/>
      <c r="E81" s="117"/>
      <c r="F81" s="118"/>
      <c r="H81" s="58"/>
      <c r="J81" s="58"/>
    </row>
    <row r="82" spans="1:10" s="51" customFormat="1" ht="14.25" customHeight="1" x14ac:dyDescent="0.25">
      <c r="A82" s="115"/>
      <c r="B82" s="105"/>
      <c r="D82" s="116"/>
      <c r="E82" s="117"/>
      <c r="F82" s="118"/>
      <c r="H82" s="58"/>
      <c r="J82" s="58"/>
    </row>
    <row r="83" spans="1:10" s="2" customFormat="1" ht="19.5" customHeight="1" x14ac:dyDescent="0.25">
      <c r="A83" s="77"/>
      <c r="B83" s="105"/>
      <c r="C83" s="67"/>
      <c r="D83" s="70" t="s">
        <v>98</v>
      </c>
      <c r="E83" s="70">
        <f t="shared" ref="E83:J83" si="13">SUM(E84:E91)</f>
        <v>135</v>
      </c>
      <c r="F83" s="84">
        <f t="shared" si="13"/>
        <v>212000</v>
      </c>
      <c r="G83" s="70">
        <f t="shared" si="13"/>
        <v>0</v>
      </c>
      <c r="H83" s="84">
        <f t="shared" si="13"/>
        <v>0</v>
      </c>
      <c r="I83" s="70">
        <f t="shared" si="13"/>
        <v>0</v>
      </c>
      <c r="J83" s="71">
        <f t="shared" si="13"/>
        <v>0</v>
      </c>
    </row>
    <row r="84" spans="1:10" s="2" customFormat="1" ht="14.25" customHeight="1" x14ac:dyDescent="0.25">
      <c r="A84" s="77"/>
      <c r="B84" s="105"/>
      <c r="C84" s="4"/>
      <c r="D84" s="83" t="s">
        <v>142</v>
      </c>
      <c r="E84" s="30">
        <v>1</v>
      </c>
      <c r="F84" s="37">
        <v>2800</v>
      </c>
      <c r="G84" s="395"/>
      <c r="H84" s="17"/>
      <c r="I84" s="395"/>
      <c r="J84" s="17"/>
    </row>
    <row r="85" spans="1:10" s="2" customFormat="1" ht="14.25" customHeight="1" x14ac:dyDescent="0.25">
      <c r="A85" s="77"/>
      <c r="B85" s="105"/>
      <c r="C85" s="4"/>
      <c r="D85" s="83" t="s">
        <v>143</v>
      </c>
      <c r="E85" s="30"/>
      <c r="F85" s="37"/>
      <c r="G85" s="395"/>
      <c r="H85" s="17"/>
      <c r="I85" s="395"/>
      <c r="J85" s="17"/>
    </row>
    <row r="86" spans="1:10" s="2" customFormat="1" ht="14.25" customHeight="1" x14ac:dyDescent="0.25">
      <c r="A86" s="77"/>
      <c r="B86" s="105"/>
      <c r="C86" s="4"/>
      <c r="D86" s="83" t="s">
        <v>144</v>
      </c>
      <c r="E86" s="30">
        <v>93</v>
      </c>
      <c r="F86" s="37">
        <v>20900</v>
      </c>
      <c r="G86" s="395"/>
      <c r="H86" s="17"/>
      <c r="I86" s="395"/>
      <c r="J86" s="17"/>
    </row>
    <row r="87" spans="1:10" s="2" customFormat="1" ht="14.25" customHeight="1" x14ac:dyDescent="0.25">
      <c r="A87" s="77"/>
      <c r="B87" s="105"/>
      <c r="C87" s="4"/>
      <c r="D87" s="83" t="s">
        <v>145</v>
      </c>
      <c r="E87" s="30">
        <v>29</v>
      </c>
      <c r="F87" s="37">
        <v>145100</v>
      </c>
      <c r="G87" s="395"/>
      <c r="H87" s="17"/>
      <c r="I87" s="395"/>
      <c r="J87" s="17"/>
    </row>
    <row r="88" spans="1:10" s="2" customFormat="1" ht="14.25" customHeight="1" x14ac:dyDescent="0.25">
      <c r="A88" s="77"/>
      <c r="B88" s="105"/>
      <c r="C88" s="4"/>
      <c r="D88" s="83" t="s">
        <v>146</v>
      </c>
      <c r="E88" s="30"/>
      <c r="F88" s="37"/>
      <c r="G88" s="395"/>
      <c r="H88" s="17"/>
      <c r="I88" s="395"/>
      <c r="J88" s="17"/>
    </row>
    <row r="89" spans="1:10" s="2" customFormat="1" ht="14.25" customHeight="1" x14ac:dyDescent="0.25">
      <c r="A89" s="77"/>
      <c r="B89" s="105"/>
      <c r="C89" s="4"/>
      <c r="D89" s="83" t="s">
        <v>147</v>
      </c>
      <c r="E89" s="30">
        <v>12</v>
      </c>
      <c r="F89" s="37">
        <v>43200</v>
      </c>
      <c r="G89" s="395"/>
      <c r="H89" s="17"/>
      <c r="I89" s="395"/>
      <c r="J89" s="17"/>
    </row>
    <row r="90" spans="1:10" s="2" customFormat="1" ht="14.25" customHeight="1" x14ac:dyDescent="0.25">
      <c r="A90" s="77"/>
      <c r="B90" s="105"/>
      <c r="C90" s="4"/>
      <c r="D90" s="83" t="s">
        <v>148</v>
      </c>
      <c r="E90" s="30"/>
      <c r="F90" s="37"/>
      <c r="G90" s="395"/>
      <c r="H90" s="17"/>
      <c r="I90" s="395"/>
      <c r="J90" s="17"/>
    </row>
    <row r="91" spans="1:10" s="2" customFormat="1" ht="14.25" customHeight="1" x14ac:dyDescent="0.25">
      <c r="A91" s="77"/>
      <c r="B91" s="105"/>
      <c r="C91" s="4"/>
      <c r="D91" s="83" t="s">
        <v>149</v>
      </c>
      <c r="E91" s="30"/>
      <c r="F91" s="37"/>
      <c r="G91" s="395"/>
      <c r="H91" s="17"/>
      <c r="I91" s="395"/>
      <c r="J91" s="17"/>
    </row>
    <row r="92" spans="1:10" s="8" customFormat="1" ht="4.5" customHeight="1" x14ac:dyDescent="0.25">
      <c r="A92" s="7"/>
      <c r="B92" s="7"/>
      <c r="C92" s="7"/>
      <c r="D92" s="7"/>
      <c r="E92" s="7"/>
      <c r="F92" s="93"/>
      <c r="G92" s="7"/>
      <c r="H92" s="93"/>
      <c r="I92" s="7"/>
      <c r="J92" s="7"/>
    </row>
    <row r="93" spans="1:10" s="9" customFormat="1" ht="27" customHeight="1" x14ac:dyDescent="0.25">
      <c r="A93" s="46" t="s">
        <v>7</v>
      </c>
      <c r="B93" s="831" t="s">
        <v>52</v>
      </c>
      <c r="C93" s="67" t="s">
        <v>53</v>
      </c>
      <c r="D93" s="155" t="s">
        <v>81</v>
      </c>
      <c r="E93" s="164">
        <f t="shared" ref="E93:J93" si="14">E94+E104+E113+E121</f>
        <v>2135</v>
      </c>
      <c r="F93" s="160">
        <f t="shared" si="14"/>
        <v>11839000</v>
      </c>
      <c r="G93" s="164">
        <f t="shared" si="14"/>
        <v>3009</v>
      </c>
      <c r="H93" s="160">
        <f t="shared" si="14"/>
        <v>15045000</v>
      </c>
      <c r="I93" s="164">
        <f t="shared" si="14"/>
        <v>269</v>
      </c>
      <c r="J93" s="160">
        <f t="shared" si="14"/>
        <v>1358000</v>
      </c>
    </row>
    <row r="94" spans="1:10" s="9" customFormat="1" ht="30" customHeight="1" x14ac:dyDescent="0.25">
      <c r="A94" s="54"/>
      <c r="B94" s="832"/>
      <c r="C94" s="6"/>
      <c r="D94" s="70" t="s">
        <v>79</v>
      </c>
      <c r="E94" s="64">
        <f t="shared" ref="E94:J94" si="15">SUM(E95:E103)</f>
        <v>526</v>
      </c>
      <c r="F94" s="78">
        <f t="shared" si="15"/>
        <v>3014000</v>
      </c>
      <c r="G94" s="63">
        <f t="shared" si="15"/>
        <v>1240</v>
      </c>
      <c r="H94" s="78">
        <f t="shared" si="15"/>
        <v>6200000</v>
      </c>
      <c r="I94" s="63">
        <f t="shared" si="15"/>
        <v>61</v>
      </c>
      <c r="J94" s="78">
        <f t="shared" si="15"/>
        <v>308000</v>
      </c>
    </row>
    <row r="95" spans="1:10" s="16" customFormat="1" ht="15" customHeight="1" x14ac:dyDescent="0.25">
      <c r="A95" s="869"/>
      <c r="B95" s="832"/>
      <c r="C95" s="15"/>
      <c r="D95" s="83" t="s">
        <v>118</v>
      </c>
      <c r="E95" s="44">
        <f>1</f>
        <v>1</v>
      </c>
      <c r="F95" s="41">
        <f>5000</f>
        <v>5000</v>
      </c>
      <c r="G95" s="44"/>
      <c r="H95" s="37">
        <f t="shared" ref="H95:H103" si="16">G95*5000</f>
        <v>0</v>
      </c>
      <c r="I95" s="410"/>
      <c r="J95" s="53"/>
    </row>
    <row r="96" spans="1:10" s="1" customFormat="1" x14ac:dyDescent="0.25">
      <c r="A96" s="870"/>
      <c r="B96" s="832"/>
      <c r="C96" s="5"/>
      <c r="D96" s="83" t="s">
        <v>119</v>
      </c>
      <c r="E96" s="44"/>
      <c r="F96" s="38"/>
      <c r="G96" s="44">
        <v>300</v>
      </c>
      <c r="H96" s="37">
        <f t="shared" si="16"/>
        <v>1500000</v>
      </c>
      <c r="I96" s="20"/>
      <c r="J96" s="17"/>
    </row>
    <row r="97" spans="1:10" s="1" customFormat="1" x14ac:dyDescent="0.25">
      <c r="A97" s="55"/>
      <c r="B97" s="832"/>
      <c r="C97" s="5"/>
      <c r="D97" s="83" t="s">
        <v>120</v>
      </c>
      <c r="E97" s="44">
        <f>1</f>
        <v>1</v>
      </c>
      <c r="F97" s="39">
        <f>5000</f>
        <v>5000</v>
      </c>
      <c r="G97" s="44">
        <v>130</v>
      </c>
      <c r="H97" s="37">
        <f t="shared" si="16"/>
        <v>650000</v>
      </c>
      <c r="I97" s="20"/>
      <c r="J97" s="17"/>
    </row>
    <row r="98" spans="1:10" s="1" customFormat="1" x14ac:dyDescent="0.25">
      <c r="A98" s="55"/>
      <c r="B98" s="832"/>
      <c r="C98" s="5"/>
      <c r="D98" s="83" t="s">
        <v>121</v>
      </c>
      <c r="E98" s="44">
        <f>315+115</f>
        <v>430</v>
      </c>
      <c r="F98" s="39">
        <f>1879000+575000</f>
        <v>2454000</v>
      </c>
      <c r="G98" s="44"/>
      <c r="H98" s="37">
        <f t="shared" si="16"/>
        <v>0</v>
      </c>
      <c r="I98" s="20"/>
      <c r="J98" s="17"/>
    </row>
    <row r="99" spans="1:10" s="1" customFormat="1" x14ac:dyDescent="0.25">
      <c r="A99" s="55"/>
      <c r="B99" s="832"/>
      <c r="C99" s="5"/>
      <c r="D99" s="83" t="s">
        <v>122</v>
      </c>
      <c r="E99" s="44">
        <f>30</f>
        <v>30</v>
      </c>
      <c r="F99" s="39">
        <f>150000</f>
        <v>150000</v>
      </c>
      <c r="G99" s="44">
        <v>260</v>
      </c>
      <c r="H99" s="37">
        <f t="shared" si="16"/>
        <v>1300000</v>
      </c>
      <c r="I99" s="20">
        <f>60</f>
        <v>60</v>
      </c>
      <c r="J99" s="17">
        <f>300000</f>
        <v>300000</v>
      </c>
    </row>
    <row r="100" spans="1:10" s="1" customFormat="1" x14ac:dyDescent="0.25">
      <c r="A100" s="55"/>
      <c r="B100" s="105"/>
      <c r="C100" s="5"/>
      <c r="D100" s="83" t="s">
        <v>123</v>
      </c>
      <c r="E100" s="44"/>
      <c r="F100" s="40"/>
      <c r="G100" s="44">
        <v>290</v>
      </c>
      <c r="H100" s="37">
        <f t="shared" si="16"/>
        <v>1450000</v>
      </c>
      <c r="I100" s="20"/>
      <c r="J100" s="17"/>
    </row>
    <row r="101" spans="1:10" s="1" customFormat="1" x14ac:dyDescent="0.25">
      <c r="A101" s="55"/>
      <c r="B101" s="105"/>
      <c r="C101" s="5"/>
      <c r="D101" s="83" t="s">
        <v>124</v>
      </c>
      <c r="E101" s="44"/>
      <c r="F101" s="40"/>
      <c r="G101" s="44"/>
      <c r="H101" s="37">
        <f t="shared" si="16"/>
        <v>0</v>
      </c>
      <c r="I101" s="20"/>
      <c r="J101" s="17"/>
    </row>
    <row r="102" spans="1:10" s="1" customFormat="1" x14ac:dyDescent="0.25">
      <c r="A102" s="55"/>
      <c r="B102" s="105"/>
      <c r="C102" s="5"/>
      <c r="D102" s="83" t="s">
        <v>125</v>
      </c>
      <c r="E102" s="44">
        <f>34</f>
        <v>34</v>
      </c>
      <c r="F102" s="40">
        <f>163000</f>
        <v>163000</v>
      </c>
      <c r="G102" s="44">
        <v>130</v>
      </c>
      <c r="H102" s="37">
        <f t="shared" si="16"/>
        <v>650000</v>
      </c>
      <c r="I102" s="20">
        <f>1</f>
        <v>1</v>
      </c>
      <c r="J102" s="17">
        <f>8000</f>
        <v>8000</v>
      </c>
    </row>
    <row r="103" spans="1:10" s="1" customFormat="1" x14ac:dyDescent="0.25">
      <c r="A103" s="55"/>
      <c r="B103" s="105"/>
      <c r="C103" s="5"/>
      <c r="D103" s="83" t="s">
        <v>126</v>
      </c>
      <c r="E103" s="44">
        <f>30</f>
        <v>30</v>
      </c>
      <c r="F103" s="40">
        <f>237000</f>
        <v>237000</v>
      </c>
      <c r="G103" s="44">
        <v>130</v>
      </c>
      <c r="H103" s="37">
        <f t="shared" si="16"/>
        <v>650000</v>
      </c>
      <c r="I103" s="20"/>
      <c r="J103" s="17"/>
    </row>
    <row r="104" spans="1:10" s="2" customFormat="1" ht="24" customHeight="1" x14ac:dyDescent="0.25">
      <c r="A104" s="77"/>
      <c r="B104" s="105"/>
      <c r="C104" s="63"/>
      <c r="D104" s="70" t="s">
        <v>80</v>
      </c>
      <c r="E104" s="70">
        <f t="shared" ref="E104:J104" si="17">SUM(E105:E112)</f>
        <v>955</v>
      </c>
      <c r="F104" s="84">
        <f t="shared" si="17"/>
        <v>4950000</v>
      </c>
      <c r="G104" s="70">
        <f t="shared" si="17"/>
        <v>510</v>
      </c>
      <c r="H104" s="84">
        <f t="shared" si="17"/>
        <v>2550000</v>
      </c>
      <c r="I104" s="70">
        <f t="shared" si="17"/>
        <v>47</v>
      </c>
      <c r="J104" s="71">
        <f t="shared" si="17"/>
        <v>245000</v>
      </c>
    </row>
    <row r="105" spans="1:10" s="2" customFormat="1" ht="14.25" customHeight="1" x14ac:dyDescent="0.25">
      <c r="A105" s="77"/>
      <c r="B105" s="105"/>
      <c r="C105" s="4"/>
      <c r="D105" s="83" t="s">
        <v>127</v>
      </c>
      <c r="E105" s="30">
        <f>480+140</f>
        <v>620</v>
      </c>
      <c r="F105" s="37">
        <f>2400000+700000</f>
        <v>3100000</v>
      </c>
      <c r="G105" s="30"/>
      <c r="H105" s="37">
        <f t="shared" ref="H105:H112" si="18">G105*5000</f>
        <v>0</v>
      </c>
      <c r="I105" s="30">
        <f>2+20</f>
        <v>22</v>
      </c>
      <c r="J105" s="384">
        <f>20000+100000</f>
        <v>120000</v>
      </c>
    </row>
    <row r="106" spans="1:10" s="2" customFormat="1" ht="14.25" customHeight="1" x14ac:dyDescent="0.25">
      <c r="A106" s="77"/>
      <c r="B106" s="105"/>
      <c r="C106" s="4"/>
      <c r="D106" s="83" t="s">
        <v>128</v>
      </c>
      <c r="E106" s="30"/>
      <c r="F106" s="37"/>
      <c r="G106" s="30"/>
      <c r="H106" s="37">
        <f t="shared" si="18"/>
        <v>0</v>
      </c>
      <c r="I106" s="30"/>
      <c r="J106" s="384"/>
    </row>
    <row r="107" spans="1:10" s="2" customFormat="1" ht="14.25" customHeight="1" x14ac:dyDescent="0.25">
      <c r="A107" s="77"/>
      <c r="B107" s="105"/>
      <c r="C107" s="4"/>
      <c r="D107" s="83" t="s">
        <v>129</v>
      </c>
      <c r="E107" s="30"/>
      <c r="F107" s="37"/>
      <c r="G107" s="30">
        <v>230</v>
      </c>
      <c r="H107" s="37">
        <f t="shared" si="18"/>
        <v>1150000</v>
      </c>
      <c r="I107" s="30"/>
      <c r="J107" s="384"/>
    </row>
    <row r="108" spans="1:10" s="2" customFormat="1" ht="14.25" customHeight="1" x14ac:dyDescent="0.25">
      <c r="A108" s="77"/>
      <c r="B108" s="105"/>
      <c r="C108" s="4"/>
      <c r="D108" s="83" t="s">
        <v>130</v>
      </c>
      <c r="E108" s="30">
        <f>25</f>
        <v>25</v>
      </c>
      <c r="F108" s="37">
        <f>125000</f>
        <v>125000</v>
      </c>
      <c r="G108" s="30">
        <v>100</v>
      </c>
      <c r="H108" s="37">
        <f t="shared" si="18"/>
        <v>500000</v>
      </c>
      <c r="I108" s="30">
        <f>25</f>
        <v>25</v>
      </c>
      <c r="J108" s="384">
        <f>125000</f>
        <v>125000</v>
      </c>
    </row>
    <row r="109" spans="1:10" s="2" customFormat="1" ht="14.25" customHeight="1" x14ac:dyDescent="0.25">
      <c r="A109" s="77"/>
      <c r="B109" s="105"/>
      <c r="C109" s="4"/>
      <c r="D109" s="83" t="s">
        <v>131</v>
      </c>
      <c r="E109" s="30">
        <f>15</f>
        <v>15</v>
      </c>
      <c r="F109" s="37">
        <f>150000</f>
        <v>150000</v>
      </c>
      <c r="G109" s="30"/>
      <c r="H109" s="37">
        <f t="shared" si="18"/>
        <v>0</v>
      </c>
      <c r="I109" s="30"/>
      <c r="J109" s="384"/>
    </row>
    <row r="110" spans="1:10" s="2" customFormat="1" ht="14.25" customHeight="1" x14ac:dyDescent="0.25">
      <c r="A110" s="77"/>
      <c r="B110" s="105"/>
      <c r="C110" s="4"/>
      <c r="D110" s="83" t="s">
        <v>132</v>
      </c>
      <c r="E110" s="30"/>
      <c r="F110" s="37"/>
      <c r="G110" s="30"/>
      <c r="H110" s="37">
        <f t="shared" si="18"/>
        <v>0</v>
      </c>
      <c r="I110" s="30"/>
      <c r="J110" s="384"/>
    </row>
    <row r="111" spans="1:10" s="2" customFormat="1" ht="14.25" customHeight="1" x14ac:dyDescent="0.25">
      <c r="A111" s="77"/>
      <c r="B111" s="105"/>
      <c r="C111" s="4"/>
      <c r="D111" s="83" t="s">
        <v>133</v>
      </c>
      <c r="E111" s="30"/>
      <c r="F111" s="37"/>
      <c r="G111" s="30">
        <v>180</v>
      </c>
      <c r="H111" s="37">
        <f t="shared" si="18"/>
        <v>900000</v>
      </c>
      <c r="I111" s="30"/>
      <c r="J111" s="384"/>
    </row>
    <row r="112" spans="1:10" s="2" customFormat="1" ht="14.25" customHeight="1" x14ac:dyDescent="0.25">
      <c r="A112" s="77"/>
      <c r="B112" s="105"/>
      <c r="C112" s="4"/>
      <c r="D112" s="83" t="s">
        <v>134</v>
      </c>
      <c r="E112" s="30">
        <f>270+25</f>
        <v>295</v>
      </c>
      <c r="F112" s="37">
        <f>1450000+125000</f>
        <v>1575000</v>
      </c>
      <c r="G112" s="30"/>
      <c r="H112" s="37">
        <f t="shared" si="18"/>
        <v>0</v>
      </c>
      <c r="I112" s="30"/>
      <c r="J112" s="384"/>
    </row>
    <row r="113" spans="1:10" s="2" customFormat="1" ht="24" customHeight="1" x14ac:dyDescent="0.25">
      <c r="A113" s="77"/>
      <c r="B113" s="105"/>
      <c r="C113" s="63"/>
      <c r="D113" s="70" t="s">
        <v>97</v>
      </c>
      <c r="E113" s="70">
        <f t="shared" ref="E113:J113" si="19">SUM(E114:E120)</f>
        <v>605</v>
      </c>
      <c r="F113" s="84">
        <f t="shared" si="19"/>
        <v>3630000</v>
      </c>
      <c r="G113" s="70">
        <f t="shared" si="19"/>
        <v>829</v>
      </c>
      <c r="H113" s="84">
        <f t="shared" si="19"/>
        <v>4145000</v>
      </c>
      <c r="I113" s="70">
        <f t="shared" si="19"/>
        <v>161</v>
      </c>
      <c r="J113" s="71">
        <f t="shared" si="19"/>
        <v>805000</v>
      </c>
    </row>
    <row r="114" spans="1:10" s="2" customFormat="1" ht="14.25" customHeight="1" x14ac:dyDescent="0.25">
      <c r="A114" s="77"/>
      <c r="B114" s="105"/>
      <c r="C114" s="4"/>
      <c r="D114" s="83" t="s">
        <v>135</v>
      </c>
      <c r="E114" s="30"/>
      <c r="F114" s="37"/>
      <c r="G114" s="30">
        <v>240</v>
      </c>
      <c r="H114" s="37">
        <f t="shared" ref="H114:H120" si="20">G114*5000</f>
        <v>1200000</v>
      </c>
      <c r="I114" s="30">
        <f>60</f>
        <v>60</v>
      </c>
      <c r="J114" s="384">
        <f>300000</f>
        <v>300000</v>
      </c>
    </row>
    <row r="115" spans="1:10" s="2" customFormat="1" ht="14.25" customHeight="1" x14ac:dyDescent="0.25">
      <c r="A115" s="77"/>
      <c r="B115" s="105"/>
      <c r="C115" s="4"/>
      <c r="D115" s="83" t="s">
        <v>136</v>
      </c>
      <c r="E115" s="30">
        <f>115</f>
        <v>115</v>
      </c>
      <c r="F115" s="37">
        <f>869000</f>
        <v>869000</v>
      </c>
      <c r="G115" s="30">
        <v>150</v>
      </c>
      <c r="H115" s="37">
        <f t="shared" si="20"/>
        <v>750000</v>
      </c>
      <c r="I115" s="30"/>
      <c r="J115" s="384"/>
    </row>
    <row r="116" spans="1:10" s="2" customFormat="1" ht="14.25" customHeight="1" x14ac:dyDescent="0.25">
      <c r="A116" s="77"/>
      <c r="B116" s="105"/>
      <c r="C116" s="4"/>
      <c r="D116" s="83" t="s">
        <v>137</v>
      </c>
      <c r="E116" s="30">
        <f>190+240</f>
        <v>430</v>
      </c>
      <c r="F116" s="37">
        <f>1010000+1275000</f>
        <v>2285000</v>
      </c>
      <c r="G116" s="30"/>
      <c r="H116" s="37">
        <f t="shared" si="20"/>
        <v>0</v>
      </c>
      <c r="I116" s="30">
        <f>100+1</f>
        <v>101</v>
      </c>
      <c r="J116" s="384">
        <f>500000+5000</f>
        <v>505000</v>
      </c>
    </row>
    <row r="117" spans="1:10" s="2" customFormat="1" ht="14.25" customHeight="1" x14ac:dyDescent="0.25">
      <c r="A117" s="77"/>
      <c r="B117" s="105"/>
      <c r="C117" s="4"/>
      <c r="D117" s="83" t="s">
        <v>138</v>
      </c>
      <c r="E117" s="30"/>
      <c r="F117" s="37"/>
      <c r="G117" s="30"/>
      <c r="H117" s="37">
        <f t="shared" si="20"/>
        <v>0</v>
      </c>
      <c r="I117" s="30"/>
      <c r="J117" s="384"/>
    </row>
    <row r="118" spans="1:10" s="2" customFormat="1" ht="14.25" customHeight="1" x14ac:dyDescent="0.25">
      <c r="A118" s="77"/>
      <c r="B118" s="105"/>
      <c r="C118" s="4"/>
      <c r="D118" s="83" t="s">
        <v>139</v>
      </c>
      <c r="E118" s="30">
        <f>60</f>
        <v>60</v>
      </c>
      <c r="F118" s="37">
        <f>476000</f>
        <v>476000</v>
      </c>
      <c r="G118" s="30">
        <v>339</v>
      </c>
      <c r="H118" s="37">
        <f t="shared" si="20"/>
        <v>1695000</v>
      </c>
      <c r="I118" s="30"/>
      <c r="J118" s="384"/>
    </row>
    <row r="119" spans="1:10" s="2" customFormat="1" ht="14.25" customHeight="1" x14ac:dyDescent="0.25">
      <c r="A119" s="77"/>
      <c r="B119" s="105"/>
      <c r="C119" s="4"/>
      <c r="D119" s="83" t="s">
        <v>140</v>
      </c>
      <c r="E119" s="30"/>
      <c r="F119" s="37"/>
      <c r="G119" s="30">
        <v>100</v>
      </c>
      <c r="H119" s="37">
        <f t="shared" si="20"/>
        <v>500000</v>
      </c>
      <c r="I119" s="30"/>
      <c r="J119" s="384"/>
    </row>
    <row r="120" spans="1:10" s="2" customFormat="1" ht="14.25" customHeight="1" x14ac:dyDescent="0.25">
      <c r="A120" s="77"/>
      <c r="B120" s="105"/>
      <c r="C120" s="4"/>
      <c r="D120" s="83" t="s">
        <v>141</v>
      </c>
      <c r="E120" s="30"/>
      <c r="F120" s="37"/>
      <c r="G120" s="30"/>
      <c r="H120" s="37">
        <f t="shared" si="20"/>
        <v>0</v>
      </c>
      <c r="I120" s="30"/>
      <c r="J120" s="384"/>
    </row>
    <row r="121" spans="1:10" s="2" customFormat="1" ht="24" customHeight="1" x14ac:dyDescent="0.25">
      <c r="A121" s="77"/>
      <c r="B121" s="105"/>
      <c r="C121" s="63"/>
      <c r="D121" s="70" t="s">
        <v>98</v>
      </c>
      <c r="E121" s="70">
        <f t="shared" ref="E121:J121" si="21">SUM(E122:E129)</f>
        <v>49</v>
      </c>
      <c r="F121" s="84">
        <f t="shared" si="21"/>
        <v>245000</v>
      </c>
      <c r="G121" s="70">
        <f t="shared" si="21"/>
        <v>430</v>
      </c>
      <c r="H121" s="84">
        <f t="shared" si="21"/>
        <v>2150000</v>
      </c>
      <c r="I121" s="70">
        <f t="shared" si="21"/>
        <v>0</v>
      </c>
      <c r="J121" s="71">
        <f t="shared" si="21"/>
        <v>0</v>
      </c>
    </row>
    <row r="122" spans="1:10" s="2" customFormat="1" ht="14.25" customHeight="1" x14ac:dyDescent="0.25">
      <c r="A122" s="77"/>
      <c r="B122" s="105"/>
      <c r="C122" s="4"/>
      <c r="D122" s="83" t="s">
        <v>142</v>
      </c>
      <c r="E122" s="30"/>
      <c r="F122" s="37"/>
      <c r="G122" s="30">
        <v>150</v>
      </c>
      <c r="H122" s="37">
        <f t="shared" ref="H122:H129" si="22">G122*5000</f>
        <v>750000</v>
      </c>
      <c r="I122" s="395"/>
      <c r="J122" s="17"/>
    </row>
    <row r="123" spans="1:10" s="2" customFormat="1" ht="14.25" customHeight="1" x14ac:dyDescent="0.25">
      <c r="A123" s="77"/>
      <c r="B123" s="105"/>
      <c r="C123" s="4"/>
      <c r="D123" s="83" t="s">
        <v>143</v>
      </c>
      <c r="E123" s="30"/>
      <c r="F123" s="37"/>
      <c r="G123" s="30">
        <v>150</v>
      </c>
      <c r="H123" s="37">
        <f t="shared" si="22"/>
        <v>750000</v>
      </c>
      <c r="I123" s="395"/>
      <c r="J123" s="17"/>
    </row>
    <row r="124" spans="1:10" s="2" customFormat="1" ht="14.25" customHeight="1" x14ac:dyDescent="0.25">
      <c r="A124" s="77"/>
      <c r="B124" s="105"/>
      <c r="C124" s="4"/>
      <c r="D124" s="83" t="s">
        <v>144</v>
      </c>
      <c r="E124" s="30"/>
      <c r="F124" s="37"/>
      <c r="G124" s="30"/>
      <c r="H124" s="37">
        <f t="shared" si="22"/>
        <v>0</v>
      </c>
      <c r="I124" s="395"/>
      <c r="J124" s="17"/>
    </row>
    <row r="125" spans="1:10" s="2" customFormat="1" ht="14.25" customHeight="1" x14ac:dyDescent="0.25">
      <c r="A125" s="77"/>
      <c r="B125" s="105"/>
      <c r="C125" s="4"/>
      <c r="D125" s="83" t="s">
        <v>145</v>
      </c>
      <c r="E125" s="30">
        <f>49</f>
        <v>49</v>
      </c>
      <c r="F125" s="37">
        <f>245000</f>
        <v>245000</v>
      </c>
      <c r="G125" s="30">
        <v>130</v>
      </c>
      <c r="H125" s="37">
        <f t="shared" si="22"/>
        <v>650000</v>
      </c>
      <c r="I125" s="395"/>
      <c r="J125" s="17"/>
    </row>
    <row r="126" spans="1:10" s="2" customFormat="1" ht="14.25" customHeight="1" x14ac:dyDescent="0.25">
      <c r="A126" s="77"/>
      <c r="B126" s="105"/>
      <c r="C126" s="4"/>
      <c r="D126" s="83" t="s">
        <v>146</v>
      </c>
      <c r="E126" s="30"/>
      <c r="F126" s="37"/>
      <c r="G126" s="30"/>
      <c r="H126" s="37">
        <f t="shared" si="22"/>
        <v>0</v>
      </c>
      <c r="I126" s="395"/>
      <c r="J126" s="17"/>
    </row>
    <row r="127" spans="1:10" s="2" customFormat="1" ht="14.25" customHeight="1" x14ac:dyDescent="0.25">
      <c r="A127" s="77"/>
      <c r="B127" s="105"/>
      <c r="C127" s="4"/>
      <c r="D127" s="83" t="s">
        <v>147</v>
      </c>
      <c r="E127" s="30"/>
      <c r="F127" s="37"/>
      <c r="G127" s="30"/>
      <c r="H127" s="37">
        <f t="shared" si="22"/>
        <v>0</v>
      </c>
      <c r="I127" s="395"/>
      <c r="J127" s="17"/>
    </row>
    <row r="128" spans="1:10" s="2" customFormat="1" ht="14.25" customHeight="1" x14ac:dyDescent="0.25">
      <c r="A128" s="77"/>
      <c r="B128" s="105"/>
      <c r="C128" s="4"/>
      <c r="D128" s="83" t="s">
        <v>148</v>
      </c>
      <c r="E128" s="30"/>
      <c r="F128" s="37"/>
      <c r="G128" s="30"/>
      <c r="H128" s="37">
        <f t="shared" si="22"/>
        <v>0</v>
      </c>
      <c r="I128" s="395"/>
      <c r="J128" s="17"/>
    </row>
    <row r="129" spans="1:10" s="2" customFormat="1" ht="14.25" customHeight="1" x14ac:dyDescent="0.25">
      <c r="A129" s="77"/>
      <c r="B129" s="105"/>
      <c r="C129" s="4"/>
      <c r="D129" s="83" t="s">
        <v>149</v>
      </c>
      <c r="E129" s="30"/>
      <c r="F129" s="37"/>
      <c r="G129" s="30"/>
      <c r="H129" s="37">
        <f t="shared" si="22"/>
        <v>0</v>
      </c>
      <c r="I129" s="395"/>
      <c r="J129" s="17"/>
    </row>
    <row r="130" spans="1:10" s="8" customFormat="1" ht="4.5" customHeight="1" x14ac:dyDescent="0.25">
      <c r="A130" s="7"/>
      <c r="B130" s="7"/>
      <c r="C130" s="7"/>
      <c r="D130" s="7"/>
      <c r="E130" s="7"/>
      <c r="F130" s="93"/>
      <c r="G130" s="7"/>
      <c r="H130" s="93"/>
      <c r="I130" s="7"/>
      <c r="J130" s="7"/>
    </row>
    <row r="131" spans="1:10" s="9" customFormat="1" ht="20.25" customHeight="1" x14ac:dyDescent="0.25">
      <c r="A131" s="926" t="s">
        <v>6</v>
      </c>
      <c r="B131" s="831" t="s">
        <v>54</v>
      </c>
      <c r="C131" s="167" t="s">
        <v>20</v>
      </c>
      <c r="D131" s="155" t="s">
        <v>81</v>
      </c>
      <c r="E131" s="161">
        <f t="shared" ref="E131:J131" si="23">E132+E142+E151+E161</f>
        <v>38165</v>
      </c>
      <c r="F131" s="158">
        <f t="shared" si="23"/>
        <v>49791540</v>
      </c>
      <c r="G131" s="161">
        <f t="shared" si="23"/>
        <v>50583</v>
      </c>
      <c r="H131" s="158">
        <f t="shared" si="23"/>
        <v>78909480</v>
      </c>
      <c r="I131" s="161">
        <f t="shared" si="23"/>
        <v>6172</v>
      </c>
      <c r="J131" s="158">
        <f t="shared" si="23"/>
        <v>9702358</v>
      </c>
    </row>
    <row r="132" spans="1:10" s="9" customFormat="1" ht="18.75" customHeight="1" x14ac:dyDescent="0.25">
      <c r="A132" s="927"/>
      <c r="B132" s="832"/>
      <c r="C132" s="168"/>
      <c r="D132" s="70" t="s">
        <v>79</v>
      </c>
      <c r="E132" s="64">
        <f t="shared" ref="E132:J132" si="24">SUM(E133:E141)</f>
        <v>11657</v>
      </c>
      <c r="F132" s="78">
        <f t="shared" si="24"/>
        <v>15485810</v>
      </c>
      <c r="G132" s="63">
        <f t="shared" si="24"/>
        <v>14891</v>
      </c>
      <c r="H132" s="78">
        <f t="shared" si="24"/>
        <v>23229960</v>
      </c>
      <c r="I132" s="63">
        <f t="shared" si="24"/>
        <v>4237</v>
      </c>
      <c r="J132" s="78">
        <f t="shared" si="24"/>
        <v>6660560</v>
      </c>
    </row>
    <row r="133" spans="1:10" s="16" customFormat="1" ht="15" customHeight="1" x14ac:dyDescent="0.25">
      <c r="A133" s="869"/>
      <c r="B133" s="832"/>
      <c r="C133" s="168"/>
      <c r="D133" s="83" t="s">
        <v>118</v>
      </c>
      <c r="E133" s="44">
        <v>1064</v>
      </c>
      <c r="F133" s="41">
        <v>1672590</v>
      </c>
      <c r="G133" s="410">
        <v>1277</v>
      </c>
      <c r="H133" s="53">
        <v>1992120</v>
      </c>
      <c r="I133" s="410"/>
      <c r="J133" s="53"/>
    </row>
    <row r="134" spans="1:10" s="1" customFormat="1" x14ac:dyDescent="0.25">
      <c r="A134" s="870"/>
      <c r="B134" s="832"/>
      <c r="C134" s="168"/>
      <c r="D134" s="83" t="s">
        <v>119</v>
      </c>
      <c r="E134" s="44">
        <v>1757</v>
      </c>
      <c r="F134" s="38">
        <v>2927070</v>
      </c>
      <c r="G134" s="20">
        <v>2609</v>
      </c>
      <c r="H134" s="17">
        <v>4070040</v>
      </c>
      <c r="I134" s="20">
        <v>1692</v>
      </c>
      <c r="J134" s="17">
        <v>2659820</v>
      </c>
    </row>
    <row r="135" spans="1:10" s="1" customFormat="1" x14ac:dyDescent="0.25">
      <c r="A135" s="55"/>
      <c r="B135" s="832"/>
      <c r="C135" s="168"/>
      <c r="D135" s="83" t="s">
        <v>120</v>
      </c>
      <c r="E135" s="44">
        <v>1979</v>
      </c>
      <c r="F135" s="39" t="s">
        <v>206</v>
      </c>
      <c r="G135" s="20">
        <v>2375</v>
      </c>
      <c r="H135" s="17">
        <v>3705000</v>
      </c>
      <c r="I135" s="20"/>
      <c r="J135" s="17"/>
    </row>
    <row r="136" spans="1:10" s="1" customFormat="1" x14ac:dyDescent="0.25">
      <c r="A136" s="55"/>
      <c r="B136" s="832"/>
      <c r="C136" s="168"/>
      <c r="D136" s="83" t="s">
        <v>121</v>
      </c>
      <c r="E136" s="44">
        <v>538</v>
      </c>
      <c r="F136" s="39">
        <v>845730</v>
      </c>
      <c r="G136" s="20">
        <v>646</v>
      </c>
      <c r="H136" s="17">
        <v>1007760</v>
      </c>
      <c r="I136" s="20"/>
      <c r="J136" s="17"/>
    </row>
    <row r="137" spans="1:10" s="1" customFormat="1" x14ac:dyDescent="0.25">
      <c r="A137" s="55"/>
      <c r="B137" s="832"/>
      <c r="C137" s="168"/>
      <c r="D137" s="83" t="s">
        <v>122</v>
      </c>
      <c r="E137" s="44">
        <v>290</v>
      </c>
      <c r="F137" s="39">
        <v>455900</v>
      </c>
      <c r="G137" s="20">
        <v>748</v>
      </c>
      <c r="H137" s="17">
        <v>1166880</v>
      </c>
      <c r="I137" s="20"/>
      <c r="J137" s="17"/>
    </row>
    <row r="138" spans="1:10" s="1" customFormat="1" x14ac:dyDescent="0.25">
      <c r="A138" s="55"/>
      <c r="B138" s="832"/>
      <c r="C138" s="168"/>
      <c r="D138" s="83" t="s">
        <v>123</v>
      </c>
      <c r="E138" s="44">
        <v>1064</v>
      </c>
      <c r="F138" s="40">
        <v>1779520</v>
      </c>
      <c r="G138" s="20">
        <v>1277</v>
      </c>
      <c r="H138" s="17">
        <v>1992120</v>
      </c>
      <c r="I138" s="20"/>
      <c r="J138" s="17"/>
    </row>
    <row r="139" spans="1:10" s="1" customFormat="1" x14ac:dyDescent="0.25">
      <c r="A139" s="55"/>
      <c r="B139" s="105"/>
      <c r="C139" s="168"/>
      <c r="D139" s="83" t="s">
        <v>124</v>
      </c>
      <c r="E139" s="44">
        <v>1218</v>
      </c>
      <c r="F139" s="40">
        <v>1914730</v>
      </c>
      <c r="G139" s="20">
        <v>1462</v>
      </c>
      <c r="H139" s="17">
        <v>2280720</v>
      </c>
      <c r="I139" s="20"/>
      <c r="J139" s="17"/>
    </row>
    <row r="140" spans="1:10" s="1" customFormat="1" x14ac:dyDescent="0.25">
      <c r="A140" s="55"/>
      <c r="B140" s="105"/>
      <c r="C140" s="168"/>
      <c r="D140" s="83" t="s">
        <v>125</v>
      </c>
      <c r="E140" s="44">
        <v>2943</v>
      </c>
      <c r="F140" s="40">
        <v>4626380</v>
      </c>
      <c r="G140" s="20">
        <v>3532</v>
      </c>
      <c r="H140" s="17">
        <v>5509920</v>
      </c>
      <c r="I140" s="20">
        <v>2545</v>
      </c>
      <c r="J140" s="17">
        <v>4000740</v>
      </c>
    </row>
    <row r="141" spans="1:10" s="1" customFormat="1" x14ac:dyDescent="0.25">
      <c r="A141" s="55"/>
      <c r="B141" s="105"/>
      <c r="C141" s="168"/>
      <c r="D141" s="83" t="s">
        <v>126</v>
      </c>
      <c r="E141" s="44">
        <v>804</v>
      </c>
      <c r="F141" s="163">
        <v>1263890</v>
      </c>
      <c r="G141" s="20">
        <v>965</v>
      </c>
      <c r="H141" s="17">
        <v>1505400</v>
      </c>
      <c r="I141" s="20"/>
      <c r="J141" s="17"/>
    </row>
    <row r="142" spans="1:10" s="2" customFormat="1" ht="18.75" customHeight="1" x14ac:dyDescent="0.25">
      <c r="A142" s="77"/>
      <c r="B142" s="105"/>
      <c r="C142" s="168"/>
      <c r="D142" s="70" t="s">
        <v>80</v>
      </c>
      <c r="E142" s="70">
        <f t="shared" ref="E142:J142" si="25">SUM(E143:E150)</f>
        <v>9558</v>
      </c>
      <c r="F142" s="84">
        <f t="shared" si="25"/>
        <v>13703120</v>
      </c>
      <c r="G142" s="70">
        <f t="shared" si="25"/>
        <v>12245</v>
      </c>
      <c r="H142" s="84">
        <f t="shared" si="25"/>
        <v>19102200</v>
      </c>
      <c r="I142" s="70">
        <f t="shared" si="25"/>
        <v>706</v>
      </c>
      <c r="J142" s="71">
        <f t="shared" si="25"/>
        <v>1109810</v>
      </c>
    </row>
    <row r="143" spans="1:10" s="2" customFormat="1" ht="14.25" customHeight="1" x14ac:dyDescent="0.25">
      <c r="A143" s="77"/>
      <c r="B143" s="105"/>
      <c r="C143" s="168"/>
      <c r="D143" s="83" t="s">
        <v>127</v>
      </c>
      <c r="E143" s="30">
        <v>900</v>
      </c>
      <c r="F143" s="37">
        <v>1414800</v>
      </c>
      <c r="G143" s="395">
        <v>1580</v>
      </c>
      <c r="H143" s="17">
        <v>2464800</v>
      </c>
      <c r="I143" s="395"/>
      <c r="J143" s="17"/>
    </row>
    <row r="144" spans="1:10" s="2" customFormat="1" ht="14.25" customHeight="1" x14ac:dyDescent="0.25">
      <c r="A144" s="77"/>
      <c r="B144" s="105"/>
      <c r="C144" s="168"/>
      <c r="D144" s="83" t="s">
        <v>128</v>
      </c>
      <c r="E144" s="30">
        <v>833</v>
      </c>
      <c r="F144" s="37">
        <v>1309480</v>
      </c>
      <c r="G144" s="395">
        <v>1000</v>
      </c>
      <c r="H144" s="17">
        <v>1560000</v>
      </c>
      <c r="I144" s="395"/>
      <c r="J144" s="17"/>
    </row>
    <row r="145" spans="1:10" s="2" customFormat="1" ht="14.25" customHeight="1" x14ac:dyDescent="0.25">
      <c r="A145" s="77"/>
      <c r="B145" s="105"/>
      <c r="C145" s="168"/>
      <c r="D145" s="83" t="s">
        <v>129</v>
      </c>
      <c r="E145" s="30">
        <v>904</v>
      </c>
      <c r="F145" s="37">
        <f>1421090</f>
        <v>1421090</v>
      </c>
      <c r="G145" s="395">
        <v>1100</v>
      </c>
      <c r="H145" s="17">
        <v>1716000</v>
      </c>
      <c r="I145" s="395"/>
      <c r="J145" s="17"/>
    </row>
    <row r="146" spans="1:10" s="2" customFormat="1" ht="14.25" customHeight="1" x14ac:dyDescent="0.25">
      <c r="A146" s="77"/>
      <c r="B146" s="105"/>
      <c r="C146" s="168"/>
      <c r="D146" s="83" t="s">
        <v>130</v>
      </c>
      <c r="E146" s="30">
        <v>841</v>
      </c>
      <c r="F146" s="37" t="s">
        <v>206</v>
      </c>
      <c r="G146" s="395">
        <v>1269</v>
      </c>
      <c r="H146" s="17">
        <v>1979640</v>
      </c>
      <c r="I146" s="395"/>
      <c r="J146" s="17"/>
    </row>
    <row r="147" spans="1:10" s="2" customFormat="1" ht="14.25" customHeight="1" x14ac:dyDescent="0.25">
      <c r="A147" s="77"/>
      <c r="B147" s="105"/>
      <c r="C147" s="168"/>
      <c r="D147" s="83" t="s">
        <v>131</v>
      </c>
      <c r="E147" s="30">
        <v>1256</v>
      </c>
      <c r="F147" s="37">
        <v>1974410</v>
      </c>
      <c r="G147" s="395">
        <v>1507</v>
      </c>
      <c r="H147" s="17">
        <v>2350920</v>
      </c>
      <c r="I147" s="395"/>
      <c r="J147" s="17"/>
    </row>
    <row r="148" spans="1:10" s="2" customFormat="1" ht="14.25" customHeight="1" x14ac:dyDescent="0.25">
      <c r="A148" s="77"/>
      <c r="B148" s="105"/>
      <c r="C148" s="168"/>
      <c r="D148" s="83" t="s">
        <v>132</v>
      </c>
      <c r="E148" s="30">
        <v>2458</v>
      </c>
      <c r="F148" s="37">
        <v>3863980</v>
      </c>
      <c r="G148" s="395">
        <v>2950</v>
      </c>
      <c r="H148" s="17">
        <v>4602000</v>
      </c>
      <c r="I148" s="395"/>
      <c r="J148" s="17"/>
    </row>
    <row r="149" spans="1:10" s="2" customFormat="1" ht="14.25" customHeight="1" x14ac:dyDescent="0.25">
      <c r="A149" s="77"/>
      <c r="B149" s="105"/>
      <c r="C149" s="168"/>
      <c r="D149" s="83" t="s">
        <v>133</v>
      </c>
      <c r="E149" s="30">
        <v>1650</v>
      </c>
      <c r="F149" s="37">
        <v>2593800</v>
      </c>
      <c r="G149" s="395">
        <v>1980</v>
      </c>
      <c r="H149" s="17">
        <v>3088800</v>
      </c>
      <c r="I149" s="395"/>
      <c r="J149" s="17"/>
    </row>
    <row r="150" spans="1:10" s="2" customFormat="1" ht="14.25" customHeight="1" x14ac:dyDescent="0.25">
      <c r="A150" s="77"/>
      <c r="B150" s="105"/>
      <c r="C150" s="168"/>
      <c r="D150" s="83" t="s">
        <v>134</v>
      </c>
      <c r="E150" s="30">
        <v>716</v>
      </c>
      <c r="F150" s="37">
        <v>1125560</v>
      </c>
      <c r="G150" s="395">
        <v>859</v>
      </c>
      <c r="H150" s="17">
        <v>1340040</v>
      </c>
      <c r="I150" s="395">
        <v>706</v>
      </c>
      <c r="J150" s="17">
        <v>1109810</v>
      </c>
    </row>
    <row r="151" spans="1:10" s="2" customFormat="1" ht="19.5" customHeight="1" x14ac:dyDescent="0.25">
      <c r="A151" s="77"/>
      <c r="B151" s="105"/>
      <c r="C151" s="168"/>
      <c r="D151" s="70" t="s">
        <v>97</v>
      </c>
      <c r="E151" s="70">
        <f t="shared" ref="E151:J151" si="26">SUM(E152:E158)</f>
        <v>8851</v>
      </c>
      <c r="F151" s="84">
        <f t="shared" si="26"/>
        <v>9705540</v>
      </c>
      <c r="G151" s="70">
        <f t="shared" si="26"/>
        <v>13724</v>
      </c>
      <c r="H151" s="84">
        <f t="shared" si="26"/>
        <v>21409440</v>
      </c>
      <c r="I151" s="70">
        <f t="shared" si="26"/>
        <v>1229</v>
      </c>
      <c r="J151" s="71">
        <f t="shared" si="26"/>
        <v>1931988</v>
      </c>
    </row>
    <row r="152" spans="1:10" s="2" customFormat="1" ht="14.25" customHeight="1" x14ac:dyDescent="0.25">
      <c r="A152" s="77"/>
      <c r="B152" s="105"/>
      <c r="C152" s="168"/>
      <c r="D152" s="83" t="s">
        <v>135</v>
      </c>
      <c r="E152" s="30">
        <v>1911</v>
      </c>
      <c r="F152" s="37">
        <v>3004060</v>
      </c>
      <c r="G152" s="395">
        <v>2393</v>
      </c>
      <c r="H152" s="17">
        <v>3733080</v>
      </c>
      <c r="I152" s="395"/>
      <c r="J152" s="17"/>
    </row>
    <row r="153" spans="1:10" s="2" customFormat="1" ht="14.25" customHeight="1" x14ac:dyDescent="0.25">
      <c r="A153" s="77"/>
      <c r="B153" s="105"/>
      <c r="C153" s="168"/>
      <c r="D153" s="83" t="s">
        <v>136</v>
      </c>
      <c r="E153" s="30">
        <v>1627</v>
      </c>
      <c r="F153" s="37" t="s">
        <v>206</v>
      </c>
      <c r="G153" s="395">
        <v>4846</v>
      </c>
      <c r="H153" s="17">
        <v>7559760</v>
      </c>
      <c r="I153" s="395"/>
      <c r="J153" s="17"/>
    </row>
    <row r="154" spans="1:10" s="2" customFormat="1" ht="14.25" customHeight="1" x14ac:dyDescent="0.25">
      <c r="A154" s="77"/>
      <c r="B154" s="105"/>
      <c r="C154" s="168"/>
      <c r="D154" s="83" t="s">
        <v>137</v>
      </c>
      <c r="E154" s="30">
        <v>734</v>
      </c>
      <c r="F154" s="37">
        <v>1153840</v>
      </c>
      <c r="G154" s="395">
        <v>900</v>
      </c>
      <c r="H154" s="17">
        <v>1404000</v>
      </c>
      <c r="I154" s="395"/>
      <c r="J154" s="17"/>
    </row>
    <row r="155" spans="1:10" s="2" customFormat="1" ht="14.25" customHeight="1" x14ac:dyDescent="0.25">
      <c r="A155" s="77"/>
      <c r="B155" s="105"/>
      <c r="C155" s="168"/>
      <c r="D155" s="83" t="s">
        <v>138</v>
      </c>
      <c r="E155" s="30">
        <v>765</v>
      </c>
      <c r="F155" s="37">
        <v>1202600</v>
      </c>
      <c r="G155" s="395">
        <v>918</v>
      </c>
      <c r="H155" s="17">
        <v>1432080</v>
      </c>
      <c r="I155" s="395"/>
      <c r="J155" s="17"/>
    </row>
    <row r="156" spans="1:10" s="2" customFormat="1" ht="14.25" customHeight="1" x14ac:dyDescent="0.25">
      <c r="A156" s="77"/>
      <c r="B156" s="105"/>
      <c r="C156" s="168"/>
      <c r="D156" s="83" t="s">
        <v>139</v>
      </c>
      <c r="E156" s="30">
        <v>1050</v>
      </c>
      <c r="F156" s="37" t="s">
        <v>206</v>
      </c>
      <c r="G156" s="395">
        <v>1260</v>
      </c>
      <c r="H156" s="17">
        <v>1965600</v>
      </c>
      <c r="I156" s="395"/>
      <c r="J156" s="17"/>
    </row>
    <row r="157" spans="1:10" s="2" customFormat="1" ht="14.25" customHeight="1" x14ac:dyDescent="0.25">
      <c r="A157" s="77"/>
      <c r="B157" s="105"/>
      <c r="C157" s="168"/>
      <c r="D157" s="83" t="s">
        <v>140</v>
      </c>
      <c r="E157" s="30">
        <v>1227</v>
      </c>
      <c r="F157" s="37">
        <v>1928870</v>
      </c>
      <c r="G157" s="395">
        <v>1562</v>
      </c>
      <c r="H157" s="17">
        <v>2436720</v>
      </c>
      <c r="I157" s="395">
        <v>1229</v>
      </c>
      <c r="J157" s="17">
        <v>1931988</v>
      </c>
    </row>
    <row r="158" spans="1:10" s="2" customFormat="1" ht="14.25" customHeight="1" x14ac:dyDescent="0.25">
      <c r="A158" s="153"/>
      <c r="B158" s="106"/>
      <c r="C158" s="169"/>
      <c r="D158" s="83" t="s">
        <v>141</v>
      </c>
      <c r="E158" s="30">
        <v>1537</v>
      </c>
      <c r="F158" s="37">
        <v>2416170</v>
      </c>
      <c r="G158" s="395">
        <v>1845</v>
      </c>
      <c r="H158" s="17">
        <v>2878200</v>
      </c>
      <c r="I158" s="395"/>
      <c r="J158" s="17"/>
    </row>
    <row r="159" spans="1:10" s="51" customFormat="1" ht="14.25" customHeight="1" x14ac:dyDescent="0.25">
      <c r="A159" s="115"/>
      <c r="B159" s="105"/>
      <c r="C159" s="168"/>
      <c r="D159" s="116"/>
      <c r="E159" s="117"/>
      <c r="F159" s="118"/>
      <c r="H159" s="58"/>
      <c r="J159" s="58"/>
    </row>
    <row r="160" spans="1:10" s="51" customFormat="1" ht="14.25" customHeight="1" x14ac:dyDescent="0.25">
      <c r="A160" s="115"/>
      <c r="B160" s="105"/>
      <c r="C160" s="168"/>
      <c r="D160" s="116"/>
      <c r="E160" s="117"/>
      <c r="F160" s="118"/>
      <c r="H160" s="58"/>
      <c r="J160" s="58"/>
    </row>
    <row r="161" spans="1:10" s="2" customFormat="1" ht="20.25" customHeight="1" x14ac:dyDescent="0.25">
      <c r="A161" s="77"/>
      <c r="B161" s="105"/>
      <c r="C161" s="168"/>
      <c r="D161" s="70" t="s">
        <v>98</v>
      </c>
      <c r="E161" s="70">
        <f t="shared" ref="E161:J161" si="27">SUM(E162:E169)</f>
        <v>8099</v>
      </c>
      <c r="F161" s="84">
        <f t="shared" si="27"/>
        <v>10897070</v>
      </c>
      <c r="G161" s="70">
        <f t="shared" si="27"/>
        <v>9723</v>
      </c>
      <c r="H161" s="84">
        <f t="shared" si="27"/>
        <v>15167880</v>
      </c>
      <c r="I161" s="70">
        <f t="shared" si="27"/>
        <v>0</v>
      </c>
      <c r="J161" s="71">
        <f t="shared" si="27"/>
        <v>0</v>
      </c>
    </row>
    <row r="162" spans="1:10" s="2" customFormat="1" ht="14.25" customHeight="1" x14ac:dyDescent="0.25">
      <c r="A162" s="77"/>
      <c r="B162" s="105"/>
      <c r="C162" s="168"/>
      <c r="D162" s="83" t="s">
        <v>142</v>
      </c>
      <c r="E162" s="30">
        <v>1197</v>
      </c>
      <c r="F162" s="37">
        <v>1881670</v>
      </c>
      <c r="G162" s="395">
        <v>1437</v>
      </c>
      <c r="H162" s="17">
        <v>2241720</v>
      </c>
      <c r="I162" s="395"/>
      <c r="J162" s="17"/>
    </row>
    <row r="163" spans="1:10" s="2" customFormat="1" ht="14.25" customHeight="1" x14ac:dyDescent="0.25">
      <c r="A163" s="77"/>
      <c r="B163" s="105"/>
      <c r="C163" s="168"/>
      <c r="D163" s="83" t="s">
        <v>143</v>
      </c>
      <c r="E163" s="30">
        <v>1107</v>
      </c>
      <c r="F163" s="37">
        <v>1740220</v>
      </c>
      <c r="G163" s="395">
        <v>1329</v>
      </c>
      <c r="H163" s="17">
        <v>2073240</v>
      </c>
      <c r="I163" s="395"/>
      <c r="J163" s="17"/>
    </row>
    <row r="164" spans="1:10" s="2" customFormat="1" ht="14.25" customHeight="1" x14ac:dyDescent="0.25">
      <c r="A164" s="77"/>
      <c r="B164" s="105"/>
      <c r="C164" s="168"/>
      <c r="D164" s="83" t="s">
        <v>144</v>
      </c>
      <c r="E164" s="30">
        <v>921</v>
      </c>
      <c r="F164" s="37">
        <v>1447810</v>
      </c>
      <c r="G164" s="395">
        <v>1105</v>
      </c>
      <c r="H164" s="17">
        <v>1723800</v>
      </c>
      <c r="I164" s="395"/>
      <c r="J164" s="17"/>
    </row>
    <row r="165" spans="1:10" s="2" customFormat="1" ht="14.25" customHeight="1" x14ac:dyDescent="0.25">
      <c r="A165" s="77"/>
      <c r="B165" s="105"/>
      <c r="C165" s="168"/>
      <c r="D165" s="83" t="s">
        <v>145</v>
      </c>
      <c r="E165" s="30">
        <v>1189</v>
      </c>
      <c r="F165" s="37">
        <v>1869090</v>
      </c>
      <c r="G165" s="395">
        <v>1427</v>
      </c>
      <c r="H165" s="17">
        <v>2226120</v>
      </c>
      <c r="I165" s="395"/>
      <c r="J165" s="17"/>
    </row>
    <row r="166" spans="1:10" s="2" customFormat="1" ht="14.25" customHeight="1" x14ac:dyDescent="0.25">
      <c r="A166" s="77"/>
      <c r="B166" s="105"/>
      <c r="C166" s="168"/>
      <c r="D166" s="83" t="s">
        <v>146</v>
      </c>
      <c r="E166" s="30">
        <v>521</v>
      </c>
      <c r="F166" s="37">
        <v>819010</v>
      </c>
      <c r="G166" s="395">
        <v>627</v>
      </c>
      <c r="H166" s="17">
        <v>978120</v>
      </c>
      <c r="I166" s="395"/>
      <c r="J166" s="17"/>
    </row>
    <row r="167" spans="1:10" s="2" customFormat="1" ht="14.25" customHeight="1" x14ac:dyDescent="0.25">
      <c r="A167" s="77"/>
      <c r="B167" s="105"/>
      <c r="C167" s="168"/>
      <c r="D167" s="83" t="s">
        <v>147</v>
      </c>
      <c r="E167" s="30">
        <v>1167</v>
      </c>
      <c r="F167" s="37"/>
      <c r="G167" s="395">
        <v>1401</v>
      </c>
      <c r="H167" s="17">
        <v>2185560</v>
      </c>
      <c r="I167" s="395"/>
      <c r="J167" s="17"/>
    </row>
    <row r="168" spans="1:10" s="2" customFormat="1" ht="14.25" customHeight="1" x14ac:dyDescent="0.25">
      <c r="A168" s="77"/>
      <c r="B168" s="105"/>
      <c r="C168" s="168"/>
      <c r="D168" s="83" t="s">
        <v>148</v>
      </c>
      <c r="E168" s="30">
        <v>850</v>
      </c>
      <c r="F168" s="37">
        <v>1336200</v>
      </c>
      <c r="G168" s="395">
        <v>1020</v>
      </c>
      <c r="H168" s="17">
        <v>1591200</v>
      </c>
      <c r="I168" s="395"/>
      <c r="J168" s="17"/>
    </row>
    <row r="169" spans="1:10" s="2" customFormat="1" ht="14.25" customHeight="1" x14ac:dyDescent="0.25">
      <c r="A169" s="77"/>
      <c r="B169" s="105"/>
      <c r="C169" s="169"/>
      <c r="D169" s="83" t="s">
        <v>149</v>
      </c>
      <c r="E169" s="30">
        <v>1147</v>
      </c>
      <c r="F169" s="37">
        <v>1803070</v>
      </c>
      <c r="G169" s="395">
        <v>1377</v>
      </c>
      <c r="H169" s="17">
        <v>2148120</v>
      </c>
      <c r="I169" s="395"/>
      <c r="J169" s="17"/>
    </row>
    <row r="170" spans="1:10" s="8" customFormat="1" ht="3.75" customHeight="1" x14ac:dyDescent="0.25">
      <c r="A170" s="7"/>
      <c r="B170" s="7"/>
      <c r="C170" s="7"/>
      <c r="D170" s="7"/>
      <c r="E170" s="7"/>
      <c r="F170" s="93"/>
      <c r="G170" s="7"/>
      <c r="H170" s="93"/>
      <c r="I170" s="7"/>
      <c r="J170" s="7"/>
    </row>
    <row r="171" spans="1:10" s="9" customFormat="1" ht="24" customHeight="1" x14ac:dyDescent="0.25">
      <c r="A171" s="926" t="s">
        <v>16</v>
      </c>
      <c r="B171" s="856" t="s">
        <v>55</v>
      </c>
      <c r="C171" s="856" t="s">
        <v>19</v>
      </c>
      <c r="D171" s="155" t="s">
        <v>81</v>
      </c>
      <c r="E171" s="161">
        <f t="shared" ref="E171:J171" si="28">E172+E182+E191+E201</f>
        <v>4614</v>
      </c>
      <c r="F171" s="158">
        <f t="shared" si="28"/>
        <v>27684000</v>
      </c>
      <c r="G171" s="161">
        <f t="shared" si="28"/>
        <v>4614</v>
      </c>
      <c r="H171" s="158">
        <f t="shared" si="28"/>
        <v>27684000</v>
      </c>
      <c r="I171" s="161">
        <f t="shared" si="28"/>
        <v>350</v>
      </c>
      <c r="J171" s="158">
        <f t="shared" si="28"/>
        <v>527000</v>
      </c>
    </row>
    <row r="172" spans="1:10" s="9" customFormat="1" ht="20.25" customHeight="1" x14ac:dyDescent="0.25">
      <c r="A172" s="927"/>
      <c r="B172" s="857"/>
      <c r="C172" s="857"/>
      <c r="D172" s="70" t="s">
        <v>79</v>
      </c>
      <c r="E172" s="64">
        <f t="shared" ref="E172:J172" si="29">SUM(E173:E181)</f>
        <v>1572</v>
      </c>
      <c r="F172" s="78">
        <f t="shared" si="29"/>
        <v>9432000</v>
      </c>
      <c r="G172" s="64">
        <f t="shared" si="29"/>
        <v>1572</v>
      </c>
      <c r="H172" s="78">
        <f t="shared" si="29"/>
        <v>9432000</v>
      </c>
      <c r="I172" s="64">
        <f t="shared" si="29"/>
        <v>46</v>
      </c>
      <c r="J172" s="64">
        <f t="shared" si="29"/>
        <v>68000</v>
      </c>
    </row>
    <row r="173" spans="1:10" s="16" customFormat="1" ht="15" customHeight="1" x14ac:dyDescent="0.25">
      <c r="A173" s="869"/>
      <c r="B173" s="857"/>
      <c r="C173" s="857"/>
      <c r="D173" s="83" t="s">
        <v>118</v>
      </c>
      <c r="E173" s="44">
        <v>182</v>
      </c>
      <c r="F173" s="37">
        <f t="shared" ref="F173:F181" si="30">E173*500*12</f>
        <v>1092000</v>
      </c>
      <c r="G173" s="44">
        <v>182</v>
      </c>
      <c r="H173" s="53">
        <f>G173*500*12</f>
        <v>1092000</v>
      </c>
      <c r="I173" s="410">
        <f>46</f>
        <v>46</v>
      </c>
      <c r="J173" s="53">
        <f>68000</f>
        <v>68000</v>
      </c>
    </row>
    <row r="174" spans="1:10" s="1" customFormat="1" x14ac:dyDescent="0.25">
      <c r="A174" s="870"/>
      <c r="B174" s="857"/>
      <c r="C174" s="168"/>
      <c r="D174" s="83" t="s">
        <v>119</v>
      </c>
      <c r="E174" s="44">
        <v>203</v>
      </c>
      <c r="F174" s="37">
        <f t="shared" si="30"/>
        <v>1218000</v>
      </c>
      <c r="G174" s="44">
        <v>203</v>
      </c>
      <c r="H174" s="53">
        <f t="shared" ref="H174:H198" si="31">G174*500*12</f>
        <v>1218000</v>
      </c>
      <c r="I174" s="20"/>
      <c r="J174" s="17"/>
    </row>
    <row r="175" spans="1:10" s="1" customFormat="1" x14ac:dyDescent="0.25">
      <c r="A175" s="55"/>
      <c r="B175" s="857"/>
      <c r="C175" s="168"/>
      <c r="D175" s="83" t="s">
        <v>120</v>
      </c>
      <c r="E175" s="44">
        <v>277</v>
      </c>
      <c r="F175" s="37">
        <f t="shared" si="30"/>
        <v>1662000</v>
      </c>
      <c r="G175" s="44">
        <v>277</v>
      </c>
      <c r="H175" s="53">
        <f t="shared" si="31"/>
        <v>1662000</v>
      </c>
      <c r="I175" s="20"/>
      <c r="J175" s="17"/>
    </row>
    <row r="176" spans="1:10" s="1" customFormat="1" x14ac:dyDescent="0.25">
      <c r="A176" s="55"/>
      <c r="B176" s="857"/>
      <c r="C176" s="168"/>
      <c r="D176" s="83" t="s">
        <v>121</v>
      </c>
      <c r="E176" s="44">
        <v>157</v>
      </c>
      <c r="F176" s="37">
        <f t="shared" si="30"/>
        <v>942000</v>
      </c>
      <c r="G176" s="44">
        <v>157</v>
      </c>
      <c r="H176" s="53">
        <f t="shared" si="31"/>
        <v>942000</v>
      </c>
      <c r="I176" s="20"/>
      <c r="J176" s="17"/>
    </row>
    <row r="177" spans="1:10" s="1" customFormat="1" x14ac:dyDescent="0.25">
      <c r="A177" s="55"/>
      <c r="B177" s="857"/>
      <c r="C177" s="168"/>
      <c r="D177" s="83" t="s">
        <v>122</v>
      </c>
      <c r="E177" s="44">
        <v>92</v>
      </c>
      <c r="F177" s="37">
        <f t="shared" si="30"/>
        <v>552000</v>
      </c>
      <c r="G177" s="44">
        <v>92</v>
      </c>
      <c r="H177" s="53">
        <f t="shared" si="31"/>
        <v>552000</v>
      </c>
      <c r="I177" s="20"/>
      <c r="J177" s="17"/>
    </row>
    <row r="178" spans="1:10" s="1" customFormat="1" x14ac:dyDescent="0.25">
      <c r="A178" s="55"/>
      <c r="B178" s="168"/>
      <c r="C178" s="168"/>
      <c r="D178" s="83" t="s">
        <v>123</v>
      </c>
      <c r="E178" s="44">
        <v>146</v>
      </c>
      <c r="F178" s="37">
        <f t="shared" si="30"/>
        <v>876000</v>
      </c>
      <c r="G178" s="44">
        <v>146</v>
      </c>
      <c r="H178" s="53">
        <f t="shared" si="31"/>
        <v>876000</v>
      </c>
      <c r="I178" s="20"/>
      <c r="J178" s="17"/>
    </row>
    <row r="179" spans="1:10" s="1" customFormat="1" x14ac:dyDescent="0.25">
      <c r="A179" s="55"/>
      <c r="B179" s="168"/>
      <c r="C179" s="168"/>
      <c r="D179" s="83" t="s">
        <v>124</v>
      </c>
      <c r="E179" s="44">
        <v>164</v>
      </c>
      <c r="F179" s="37">
        <f t="shared" si="30"/>
        <v>984000</v>
      </c>
      <c r="G179" s="44">
        <v>164</v>
      </c>
      <c r="H179" s="53">
        <f t="shared" si="31"/>
        <v>984000</v>
      </c>
      <c r="I179" s="20"/>
      <c r="J179" s="17"/>
    </row>
    <row r="180" spans="1:10" s="1" customFormat="1" x14ac:dyDescent="0.25">
      <c r="A180" s="55"/>
      <c r="B180" s="168"/>
      <c r="C180" s="168"/>
      <c r="D180" s="83" t="s">
        <v>125</v>
      </c>
      <c r="E180" s="44">
        <v>210</v>
      </c>
      <c r="F180" s="37">
        <f t="shared" si="30"/>
        <v>1260000</v>
      </c>
      <c r="G180" s="44">
        <v>210</v>
      </c>
      <c r="H180" s="53">
        <f t="shared" si="31"/>
        <v>1260000</v>
      </c>
      <c r="I180" s="20"/>
      <c r="J180" s="17"/>
    </row>
    <row r="181" spans="1:10" s="1" customFormat="1" x14ac:dyDescent="0.25">
      <c r="A181" s="55"/>
      <c r="B181" s="168"/>
      <c r="C181" s="168"/>
      <c r="D181" s="83" t="s">
        <v>126</v>
      </c>
      <c r="E181" s="44">
        <v>141</v>
      </c>
      <c r="F181" s="37">
        <f t="shared" si="30"/>
        <v>846000</v>
      </c>
      <c r="G181" s="44">
        <v>141</v>
      </c>
      <c r="H181" s="53">
        <f t="shared" si="31"/>
        <v>846000</v>
      </c>
      <c r="I181" s="20"/>
      <c r="J181" s="17"/>
    </row>
    <row r="182" spans="1:10" s="2" customFormat="1" ht="18.75" customHeight="1" x14ac:dyDescent="0.25">
      <c r="A182" s="77"/>
      <c r="B182" s="168"/>
      <c r="C182" s="168"/>
      <c r="D182" s="70" t="s">
        <v>80</v>
      </c>
      <c r="E182" s="70">
        <f t="shared" ref="E182:J182" si="32">SUM(E183:E190)</f>
        <v>1102</v>
      </c>
      <c r="F182" s="84">
        <f t="shared" si="32"/>
        <v>6612000</v>
      </c>
      <c r="G182" s="70">
        <f t="shared" si="32"/>
        <v>1102</v>
      </c>
      <c r="H182" s="84">
        <f t="shared" si="32"/>
        <v>6612000</v>
      </c>
      <c r="I182" s="70">
        <f t="shared" si="32"/>
        <v>131</v>
      </c>
      <c r="J182" s="71">
        <f t="shared" si="32"/>
        <v>196500</v>
      </c>
    </row>
    <row r="183" spans="1:10" s="2" customFormat="1" ht="14.25" customHeight="1" x14ac:dyDescent="0.25">
      <c r="A183" s="77"/>
      <c r="B183" s="168"/>
      <c r="C183" s="168"/>
      <c r="D183" s="83" t="s">
        <v>127</v>
      </c>
      <c r="E183" s="30">
        <v>143</v>
      </c>
      <c r="F183" s="37">
        <f t="shared" ref="F183:F190" si="33">E183*500*12</f>
        <v>858000</v>
      </c>
      <c r="G183" s="30">
        <v>143</v>
      </c>
      <c r="H183" s="53">
        <f t="shared" si="31"/>
        <v>858000</v>
      </c>
      <c r="I183" s="395">
        <f>20</f>
        <v>20</v>
      </c>
      <c r="J183" s="17">
        <f>30000</f>
        <v>30000</v>
      </c>
    </row>
    <row r="184" spans="1:10" s="2" customFormat="1" ht="14.25" customHeight="1" x14ac:dyDescent="0.25">
      <c r="A184" s="77"/>
      <c r="B184" s="168"/>
      <c r="C184" s="168"/>
      <c r="D184" s="83" t="s">
        <v>128</v>
      </c>
      <c r="E184" s="30">
        <v>85</v>
      </c>
      <c r="F184" s="37">
        <f t="shared" si="33"/>
        <v>510000</v>
      </c>
      <c r="G184" s="30">
        <v>85</v>
      </c>
      <c r="H184" s="53">
        <f t="shared" si="31"/>
        <v>510000</v>
      </c>
      <c r="I184" s="395">
        <f>7</f>
        <v>7</v>
      </c>
      <c r="J184" s="17">
        <f>10500</f>
        <v>10500</v>
      </c>
    </row>
    <row r="185" spans="1:10" s="2" customFormat="1" ht="14.25" customHeight="1" x14ac:dyDescent="0.25">
      <c r="A185" s="77"/>
      <c r="B185" s="168"/>
      <c r="C185" s="168"/>
      <c r="D185" s="83" t="s">
        <v>129</v>
      </c>
      <c r="E185" s="30">
        <v>128</v>
      </c>
      <c r="F185" s="37">
        <f t="shared" si="33"/>
        <v>768000</v>
      </c>
      <c r="G185" s="30">
        <v>128</v>
      </c>
      <c r="H185" s="53">
        <f t="shared" si="31"/>
        <v>768000</v>
      </c>
      <c r="I185" s="395">
        <f>34</f>
        <v>34</v>
      </c>
      <c r="J185" s="17">
        <f>51000</f>
        <v>51000</v>
      </c>
    </row>
    <row r="186" spans="1:10" s="2" customFormat="1" ht="14.25" customHeight="1" x14ac:dyDescent="0.25">
      <c r="A186" s="77"/>
      <c r="B186" s="168"/>
      <c r="C186" s="168"/>
      <c r="D186" s="83" t="s">
        <v>130</v>
      </c>
      <c r="E186" s="30">
        <v>70</v>
      </c>
      <c r="F186" s="37">
        <f t="shared" si="33"/>
        <v>420000</v>
      </c>
      <c r="G186" s="30">
        <v>70</v>
      </c>
      <c r="H186" s="53">
        <f t="shared" si="31"/>
        <v>420000</v>
      </c>
      <c r="I186" s="395">
        <f>4</f>
        <v>4</v>
      </c>
      <c r="J186" s="17">
        <f>6000</f>
        <v>6000</v>
      </c>
    </row>
    <row r="187" spans="1:10" s="2" customFormat="1" ht="14.25" customHeight="1" x14ac:dyDescent="0.25">
      <c r="A187" s="77"/>
      <c r="B187" s="168"/>
      <c r="C187" s="168"/>
      <c r="D187" s="83" t="s">
        <v>131</v>
      </c>
      <c r="E187" s="30">
        <v>134</v>
      </c>
      <c r="F187" s="37">
        <f t="shared" si="33"/>
        <v>804000</v>
      </c>
      <c r="G187" s="30">
        <v>134</v>
      </c>
      <c r="H187" s="53">
        <f t="shared" si="31"/>
        <v>804000</v>
      </c>
      <c r="I187" s="395">
        <f>23</f>
        <v>23</v>
      </c>
      <c r="J187" s="17">
        <f>34500</f>
        <v>34500</v>
      </c>
    </row>
    <row r="188" spans="1:10" s="2" customFormat="1" ht="14.25" customHeight="1" x14ac:dyDescent="0.25">
      <c r="A188" s="77"/>
      <c r="B188" s="168"/>
      <c r="C188" s="168"/>
      <c r="D188" s="83" t="s">
        <v>132</v>
      </c>
      <c r="E188" s="30">
        <v>182</v>
      </c>
      <c r="F188" s="37">
        <f t="shared" si="33"/>
        <v>1092000</v>
      </c>
      <c r="G188" s="30">
        <v>182</v>
      </c>
      <c r="H188" s="53">
        <f t="shared" si="31"/>
        <v>1092000</v>
      </c>
      <c r="I188" s="395">
        <f>43</f>
        <v>43</v>
      </c>
      <c r="J188" s="17">
        <f>64500</f>
        <v>64500</v>
      </c>
    </row>
    <row r="189" spans="1:10" s="2" customFormat="1" ht="14.25" customHeight="1" x14ac:dyDescent="0.25">
      <c r="A189" s="77"/>
      <c r="B189" s="168"/>
      <c r="C189" s="168"/>
      <c r="D189" s="83" t="s">
        <v>133</v>
      </c>
      <c r="E189" s="30">
        <v>190</v>
      </c>
      <c r="F189" s="37">
        <f t="shared" si="33"/>
        <v>1140000</v>
      </c>
      <c r="G189" s="30">
        <v>190</v>
      </c>
      <c r="H189" s="53">
        <f t="shared" si="31"/>
        <v>1140000</v>
      </c>
      <c r="I189" s="395"/>
      <c r="J189" s="17"/>
    </row>
    <row r="190" spans="1:10" s="2" customFormat="1" ht="14.25" customHeight="1" x14ac:dyDescent="0.25">
      <c r="A190" s="77"/>
      <c r="B190" s="168"/>
      <c r="C190" s="168"/>
      <c r="D190" s="83" t="s">
        <v>134</v>
      </c>
      <c r="E190" s="30">
        <v>170</v>
      </c>
      <c r="F190" s="37">
        <f t="shared" si="33"/>
        <v>1020000</v>
      </c>
      <c r="G190" s="30">
        <v>170</v>
      </c>
      <c r="H190" s="53">
        <f t="shared" si="31"/>
        <v>1020000</v>
      </c>
      <c r="I190" s="395"/>
      <c r="J190" s="17"/>
    </row>
    <row r="191" spans="1:10" s="2" customFormat="1" ht="19.5" customHeight="1" x14ac:dyDescent="0.25">
      <c r="A191" s="77"/>
      <c r="B191" s="168"/>
      <c r="C191" s="168"/>
      <c r="D191" s="70" t="s">
        <v>97</v>
      </c>
      <c r="E191" s="70">
        <f t="shared" ref="E191:J191" si="34">SUM(E192:E198)</f>
        <v>955</v>
      </c>
      <c r="F191" s="84">
        <f t="shared" si="34"/>
        <v>5730000</v>
      </c>
      <c r="G191" s="70">
        <f t="shared" si="34"/>
        <v>955</v>
      </c>
      <c r="H191" s="84">
        <f t="shared" si="34"/>
        <v>5730000</v>
      </c>
      <c r="I191" s="70">
        <f t="shared" si="34"/>
        <v>86</v>
      </c>
      <c r="J191" s="71">
        <f t="shared" si="34"/>
        <v>132000</v>
      </c>
    </row>
    <row r="192" spans="1:10" s="2" customFormat="1" ht="14.25" customHeight="1" x14ac:dyDescent="0.25">
      <c r="A192" s="77"/>
      <c r="B192" s="168"/>
      <c r="C192" s="168"/>
      <c r="D192" s="83" t="s">
        <v>135</v>
      </c>
      <c r="E192" s="30">
        <v>145</v>
      </c>
      <c r="F192" s="37">
        <f t="shared" ref="F192:F198" si="35">E192*500*12</f>
        <v>870000</v>
      </c>
      <c r="G192" s="30">
        <v>145</v>
      </c>
      <c r="H192" s="53">
        <f t="shared" si="31"/>
        <v>870000</v>
      </c>
      <c r="I192" s="395"/>
      <c r="J192" s="17"/>
    </row>
    <row r="193" spans="1:10" s="2" customFormat="1" ht="14.25" customHeight="1" x14ac:dyDescent="0.25">
      <c r="A193" s="77"/>
      <c r="B193" s="168"/>
      <c r="C193" s="168"/>
      <c r="D193" s="83" t="s">
        <v>136</v>
      </c>
      <c r="E193" s="30">
        <v>243</v>
      </c>
      <c r="F193" s="37">
        <f t="shared" si="35"/>
        <v>1458000</v>
      </c>
      <c r="G193" s="30">
        <v>243</v>
      </c>
      <c r="H193" s="53">
        <f t="shared" si="31"/>
        <v>1458000</v>
      </c>
      <c r="I193" s="395">
        <f>57</f>
        <v>57</v>
      </c>
      <c r="J193" s="17">
        <f>88500</f>
        <v>88500</v>
      </c>
    </row>
    <row r="194" spans="1:10" s="2" customFormat="1" ht="14.25" customHeight="1" x14ac:dyDescent="0.25">
      <c r="A194" s="77"/>
      <c r="B194" s="168"/>
      <c r="C194" s="168"/>
      <c r="D194" s="83" t="s">
        <v>137</v>
      </c>
      <c r="E194" s="30">
        <v>145</v>
      </c>
      <c r="F194" s="37">
        <f t="shared" si="35"/>
        <v>870000</v>
      </c>
      <c r="G194" s="30">
        <v>145</v>
      </c>
      <c r="H194" s="53">
        <f t="shared" si="31"/>
        <v>870000</v>
      </c>
      <c r="I194" s="395"/>
      <c r="J194" s="17"/>
    </row>
    <row r="195" spans="1:10" s="2" customFormat="1" ht="14.25" customHeight="1" x14ac:dyDescent="0.25">
      <c r="A195" s="77"/>
      <c r="B195" s="168"/>
      <c r="C195" s="168"/>
      <c r="D195" s="83" t="s">
        <v>138</v>
      </c>
      <c r="E195" s="30">
        <v>119</v>
      </c>
      <c r="F195" s="37">
        <f t="shared" si="35"/>
        <v>714000</v>
      </c>
      <c r="G195" s="30">
        <v>119</v>
      </c>
      <c r="H195" s="53">
        <f t="shared" si="31"/>
        <v>714000</v>
      </c>
      <c r="I195" s="395"/>
      <c r="J195" s="17"/>
    </row>
    <row r="196" spans="1:10" s="2" customFormat="1" ht="14.25" customHeight="1" x14ac:dyDescent="0.25">
      <c r="A196" s="77"/>
      <c r="B196" s="168"/>
      <c r="C196" s="168"/>
      <c r="D196" s="83" t="s">
        <v>139</v>
      </c>
      <c r="E196" s="30">
        <v>110</v>
      </c>
      <c r="F196" s="37">
        <f t="shared" si="35"/>
        <v>660000</v>
      </c>
      <c r="G196" s="30">
        <v>110</v>
      </c>
      <c r="H196" s="53">
        <f t="shared" si="31"/>
        <v>660000</v>
      </c>
      <c r="I196" s="395">
        <f>14</f>
        <v>14</v>
      </c>
      <c r="J196" s="17">
        <f>21000</f>
        <v>21000</v>
      </c>
    </row>
    <row r="197" spans="1:10" s="2" customFormat="1" ht="14.25" customHeight="1" x14ac:dyDescent="0.25">
      <c r="A197" s="104"/>
      <c r="B197" s="168"/>
      <c r="C197" s="168"/>
      <c r="D197" s="83" t="s">
        <v>140</v>
      </c>
      <c r="E197" s="30">
        <v>104</v>
      </c>
      <c r="F197" s="37">
        <f t="shared" si="35"/>
        <v>624000</v>
      </c>
      <c r="G197" s="30">
        <v>104</v>
      </c>
      <c r="H197" s="53">
        <f t="shared" si="31"/>
        <v>624000</v>
      </c>
      <c r="I197" s="395"/>
      <c r="J197" s="17"/>
    </row>
    <row r="198" spans="1:10" s="2" customFormat="1" ht="14.25" customHeight="1" x14ac:dyDescent="0.25">
      <c r="A198" s="153"/>
      <c r="B198" s="169"/>
      <c r="C198" s="169"/>
      <c r="D198" s="83" t="s">
        <v>141</v>
      </c>
      <c r="E198" s="30">
        <v>89</v>
      </c>
      <c r="F198" s="37">
        <f t="shared" si="35"/>
        <v>534000</v>
      </c>
      <c r="G198" s="30">
        <v>89</v>
      </c>
      <c r="H198" s="53">
        <f t="shared" si="31"/>
        <v>534000</v>
      </c>
      <c r="I198" s="395">
        <f>15</f>
        <v>15</v>
      </c>
      <c r="J198" s="17">
        <f>22500</f>
        <v>22500</v>
      </c>
    </row>
    <row r="199" spans="1:10" s="51" customFormat="1" ht="14.25" customHeight="1" x14ac:dyDescent="0.25">
      <c r="A199" s="115"/>
      <c r="B199" s="170"/>
      <c r="C199" s="170"/>
      <c r="D199" s="116"/>
      <c r="E199" s="117"/>
      <c r="F199" s="118"/>
      <c r="G199" s="117"/>
      <c r="H199" s="58"/>
      <c r="J199" s="58"/>
    </row>
    <row r="200" spans="1:10" s="51" customFormat="1" ht="14.25" customHeight="1" x14ac:dyDescent="0.25">
      <c r="A200" s="115"/>
      <c r="B200" s="170"/>
      <c r="C200" s="170"/>
      <c r="D200" s="116"/>
      <c r="E200" s="117"/>
      <c r="F200" s="118"/>
      <c r="G200" s="117"/>
      <c r="H200" s="58"/>
      <c r="J200" s="58"/>
    </row>
    <row r="201" spans="1:10" s="2" customFormat="1" ht="17.25" customHeight="1" x14ac:dyDescent="0.25">
      <c r="A201" s="77"/>
      <c r="B201" s="168"/>
      <c r="C201" s="168"/>
      <c r="D201" s="70" t="s">
        <v>98</v>
      </c>
      <c r="E201" s="70">
        <f t="shared" ref="E201:J201" si="36">SUM(E202:E209)</f>
        <v>985</v>
      </c>
      <c r="F201" s="84">
        <f t="shared" si="36"/>
        <v>5910000</v>
      </c>
      <c r="G201" s="70">
        <f t="shared" si="36"/>
        <v>985</v>
      </c>
      <c r="H201" s="84">
        <f t="shared" si="36"/>
        <v>5910000</v>
      </c>
      <c r="I201" s="70">
        <f t="shared" si="36"/>
        <v>87</v>
      </c>
      <c r="J201" s="71">
        <f t="shared" si="36"/>
        <v>130500</v>
      </c>
    </row>
    <row r="202" spans="1:10" s="2" customFormat="1" ht="14.25" customHeight="1" x14ac:dyDescent="0.25">
      <c r="A202" s="77"/>
      <c r="B202" s="168"/>
      <c r="C202" s="168"/>
      <c r="D202" s="83" t="s">
        <v>142</v>
      </c>
      <c r="E202" s="30">
        <v>163</v>
      </c>
      <c r="F202" s="37">
        <f t="shared" ref="F202:F209" si="37">E202*500*12</f>
        <v>978000</v>
      </c>
      <c r="G202" s="30">
        <v>163</v>
      </c>
      <c r="H202" s="53">
        <f t="shared" ref="H202:H209" si="38">G202*500*12</f>
        <v>978000</v>
      </c>
      <c r="I202" s="395"/>
      <c r="J202" s="17"/>
    </row>
    <row r="203" spans="1:10" s="2" customFormat="1" ht="14.25" customHeight="1" x14ac:dyDescent="0.25">
      <c r="A203" s="77"/>
      <c r="B203" s="168"/>
      <c r="C203" s="168"/>
      <c r="D203" s="83" t="s">
        <v>143</v>
      </c>
      <c r="E203" s="30">
        <v>115</v>
      </c>
      <c r="F203" s="37">
        <f t="shared" si="37"/>
        <v>690000</v>
      </c>
      <c r="G203" s="30">
        <v>115</v>
      </c>
      <c r="H203" s="53">
        <f t="shared" si="38"/>
        <v>690000</v>
      </c>
      <c r="I203" s="395">
        <f>26</f>
        <v>26</v>
      </c>
      <c r="J203" s="17">
        <f>39000</f>
        <v>39000</v>
      </c>
    </row>
    <row r="204" spans="1:10" s="2" customFormat="1" ht="14.25" customHeight="1" x14ac:dyDescent="0.25">
      <c r="A204" s="77"/>
      <c r="B204" s="168"/>
      <c r="C204" s="168"/>
      <c r="D204" s="83" t="s">
        <v>144</v>
      </c>
      <c r="E204" s="30">
        <v>113</v>
      </c>
      <c r="F204" s="37">
        <f t="shared" si="37"/>
        <v>678000</v>
      </c>
      <c r="G204" s="30">
        <v>113</v>
      </c>
      <c r="H204" s="53">
        <f t="shared" si="38"/>
        <v>678000</v>
      </c>
      <c r="I204" s="395"/>
      <c r="J204" s="17"/>
    </row>
    <row r="205" spans="1:10" s="2" customFormat="1" ht="14.25" customHeight="1" x14ac:dyDescent="0.25">
      <c r="A205" s="77"/>
      <c r="B205" s="168"/>
      <c r="C205" s="168"/>
      <c r="D205" s="83" t="s">
        <v>145</v>
      </c>
      <c r="E205" s="30">
        <v>181</v>
      </c>
      <c r="F205" s="37">
        <f t="shared" si="37"/>
        <v>1086000</v>
      </c>
      <c r="G205" s="30">
        <v>181</v>
      </c>
      <c r="H205" s="53">
        <f t="shared" si="38"/>
        <v>1086000</v>
      </c>
      <c r="I205" s="395"/>
      <c r="J205" s="17"/>
    </row>
    <row r="206" spans="1:10" s="2" customFormat="1" ht="14.25" customHeight="1" x14ac:dyDescent="0.25">
      <c r="A206" s="77"/>
      <c r="B206" s="168"/>
      <c r="C206" s="168"/>
      <c r="D206" s="83" t="s">
        <v>146</v>
      </c>
      <c r="E206" s="30">
        <v>70</v>
      </c>
      <c r="F206" s="37">
        <f t="shared" si="37"/>
        <v>420000</v>
      </c>
      <c r="G206" s="30">
        <v>70</v>
      </c>
      <c r="H206" s="53">
        <f t="shared" si="38"/>
        <v>420000</v>
      </c>
      <c r="I206" s="395">
        <f>13</f>
        <v>13</v>
      </c>
      <c r="J206" s="17">
        <f>19500</f>
        <v>19500</v>
      </c>
    </row>
    <row r="207" spans="1:10" s="2" customFormat="1" ht="14.25" customHeight="1" x14ac:dyDescent="0.25">
      <c r="A207" s="77"/>
      <c r="B207" s="168"/>
      <c r="C207" s="168"/>
      <c r="D207" s="83" t="s">
        <v>147</v>
      </c>
      <c r="E207" s="30">
        <v>155</v>
      </c>
      <c r="F207" s="37">
        <f t="shared" si="37"/>
        <v>930000</v>
      </c>
      <c r="G207" s="30">
        <v>155</v>
      </c>
      <c r="H207" s="53">
        <f t="shared" si="38"/>
        <v>930000</v>
      </c>
      <c r="I207" s="395"/>
      <c r="J207" s="17"/>
    </row>
    <row r="208" spans="1:10" s="2" customFormat="1" ht="14.25" customHeight="1" x14ac:dyDescent="0.25">
      <c r="A208" s="77"/>
      <c r="B208" s="168"/>
      <c r="C208" s="168"/>
      <c r="D208" s="83" t="s">
        <v>148</v>
      </c>
      <c r="E208" s="30">
        <v>89</v>
      </c>
      <c r="F208" s="37">
        <f t="shared" si="37"/>
        <v>534000</v>
      </c>
      <c r="G208" s="30">
        <v>89</v>
      </c>
      <c r="H208" s="53">
        <f t="shared" si="38"/>
        <v>534000</v>
      </c>
      <c r="I208" s="395">
        <f>21</f>
        <v>21</v>
      </c>
      <c r="J208" s="17">
        <f>31500</f>
        <v>31500</v>
      </c>
    </row>
    <row r="209" spans="1:10" s="2" customFormat="1" ht="14.25" customHeight="1" x14ac:dyDescent="0.25">
      <c r="A209" s="77"/>
      <c r="B209" s="169"/>
      <c r="C209" s="169"/>
      <c r="D209" s="83" t="s">
        <v>149</v>
      </c>
      <c r="E209" s="30">
        <v>99</v>
      </c>
      <c r="F209" s="37">
        <f t="shared" si="37"/>
        <v>594000</v>
      </c>
      <c r="G209" s="30">
        <v>99</v>
      </c>
      <c r="H209" s="53">
        <f t="shared" si="38"/>
        <v>594000</v>
      </c>
      <c r="I209" s="395">
        <f>27</f>
        <v>27</v>
      </c>
      <c r="J209" s="17">
        <f>40500</f>
        <v>40500</v>
      </c>
    </row>
    <row r="210" spans="1:10" s="8" customFormat="1" ht="5.25" customHeight="1" x14ac:dyDescent="0.25">
      <c r="A210" s="7"/>
      <c r="B210" s="7"/>
      <c r="C210" s="7"/>
      <c r="D210" s="7"/>
      <c r="E210" s="7"/>
      <c r="F210" s="93"/>
      <c r="G210" s="7"/>
      <c r="H210" s="93"/>
      <c r="I210" s="7"/>
      <c r="J210" s="7"/>
    </row>
    <row r="211" spans="1:10" s="9" customFormat="1" ht="24" customHeight="1" x14ac:dyDescent="0.25">
      <c r="A211" s="926" t="s">
        <v>17</v>
      </c>
      <c r="B211" s="923" t="s">
        <v>56</v>
      </c>
      <c r="C211" s="926" t="s">
        <v>18</v>
      </c>
      <c r="D211" s="155" t="s">
        <v>81</v>
      </c>
      <c r="E211" s="161">
        <f t="shared" ref="E211:J211" si="39">E212+E222+E231+E239</f>
        <v>52</v>
      </c>
      <c r="F211" s="158">
        <f t="shared" si="39"/>
        <v>131417</v>
      </c>
      <c r="G211" s="161">
        <f t="shared" si="39"/>
        <v>0</v>
      </c>
      <c r="H211" s="158">
        <f t="shared" si="39"/>
        <v>0</v>
      </c>
      <c r="I211" s="161">
        <f t="shared" si="39"/>
        <v>17</v>
      </c>
      <c r="J211" s="158">
        <f t="shared" si="39"/>
        <v>26422</v>
      </c>
    </row>
    <row r="212" spans="1:10" s="9" customFormat="1" ht="30" customHeight="1" x14ac:dyDescent="0.25">
      <c r="A212" s="927"/>
      <c r="B212" s="924"/>
      <c r="C212" s="927"/>
      <c r="D212" s="70" t="s">
        <v>79</v>
      </c>
      <c r="E212" s="64">
        <f t="shared" ref="E212:J212" si="40">SUM(E213:E221)</f>
        <v>10</v>
      </c>
      <c r="F212" s="78">
        <f t="shared" si="40"/>
        <v>21204</v>
      </c>
      <c r="G212" s="63">
        <f t="shared" si="40"/>
        <v>0</v>
      </c>
      <c r="H212" s="78">
        <f t="shared" si="40"/>
        <v>0</v>
      </c>
      <c r="I212" s="63">
        <f t="shared" si="40"/>
        <v>8</v>
      </c>
      <c r="J212" s="78">
        <f t="shared" si="40"/>
        <v>11850</v>
      </c>
    </row>
    <row r="213" spans="1:10" s="16" customFormat="1" ht="15" customHeight="1" x14ac:dyDescent="0.25">
      <c r="A213" s="869"/>
      <c r="B213" s="924"/>
      <c r="C213" s="6"/>
      <c r="D213" s="83" t="s">
        <v>118</v>
      </c>
      <c r="E213" s="44"/>
      <c r="F213" s="41"/>
      <c r="G213" s="410"/>
      <c r="H213" s="53"/>
      <c r="I213" s="410"/>
      <c r="J213" s="53"/>
    </row>
    <row r="214" spans="1:10" s="1" customFormat="1" x14ac:dyDescent="0.25">
      <c r="A214" s="870"/>
      <c r="B214" s="171"/>
      <c r="C214" s="6"/>
      <c r="D214" s="83" t="s">
        <v>119</v>
      </c>
      <c r="E214" s="44">
        <f>1</f>
        <v>1</v>
      </c>
      <c r="F214" s="38">
        <f>1500</f>
        <v>1500</v>
      </c>
      <c r="G214" s="20"/>
      <c r="H214" s="17"/>
      <c r="I214" s="20"/>
      <c r="J214" s="17"/>
    </row>
    <row r="215" spans="1:10" s="1" customFormat="1" x14ac:dyDescent="0.25">
      <c r="A215" s="55"/>
      <c r="B215" s="171"/>
      <c r="C215" s="6"/>
      <c r="D215" s="83" t="s">
        <v>120</v>
      </c>
      <c r="E215" s="44">
        <f>1</f>
        <v>1</v>
      </c>
      <c r="F215" s="39">
        <f>204</f>
        <v>204</v>
      </c>
      <c r="G215" s="20"/>
      <c r="H215" s="17"/>
      <c r="I215" s="20"/>
      <c r="J215" s="17"/>
    </row>
    <row r="216" spans="1:10" s="1" customFormat="1" x14ac:dyDescent="0.25">
      <c r="A216" s="55"/>
      <c r="B216" s="171"/>
      <c r="C216" s="6"/>
      <c r="D216" s="83" t="s">
        <v>121</v>
      </c>
      <c r="E216" s="44"/>
      <c r="F216" s="39"/>
      <c r="G216" s="20"/>
      <c r="H216" s="17"/>
      <c r="I216" s="20">
        <f>1</f>
        <v>1</v>
      </c>
      <c r="J216" s="17">
        <f>1500</f>
        <v>1500</v>
      </c>
    </row>
    <row r="217" spans="1:10" s="1" customFormat="1" x14ac:dyDescent="0.25">
      <c r="A217" s="55"/>
      <c r="B217" s="171"/>
      <c r="C217" s="6"/>
      <c r="D217" s="83" t="s">
        <v>122</v>
      </c>
      <c r="E217" s="44"/>
      <c r="F217" s="39"/>
      <c r="G217" s="20"/>
      <c r="H217" s="17"/>
      <c r="I217" s="20"/>
      <c r="J217" s="17"/>
    </row>
    <row r="218" spans="1:10" s="1" customFormat="1" x14ac:dyDescent="0.25">
      <c r="A218" s="55"/>
      <c r="B218" s="171"/>
      <c r="C218" s="6"/>
      <c r="D218" s="83" t="s">
        <v>123</v>
      </c>
      <c r="E218" s="44"/>
      <c r="F218" s="40"/>
      <c r="G218" s="20"/>
      <c r="H218" s="17"/>
      <c r="I218" s="20">
        <f>1</f>
        <v>1</v>
      </c>
      <c r="J218" s="17">
        <f>1500</f>
        <v>1500</v>
      </c>
    </row>
    <row r="219" spans="1:10" s="1" customFormat="1" x14ac:dyDescent="0.25">
      <c r="A219" s="55"/>
      <c r="B219" s="171"/>
      <c r="C219" s="6"/>
      <c r="D219" s="83" t="s">
        <v>124</v>
      </c>
      <c r="E219" s="44"/>
      <c r="F219" s="40"/>
      <c r="G219" s="20"/>
      <c r="H219" s="17"/>
      <c r="I219" s="20">
        <f>1</f>
        <v>1</v>
      </c>
      <c r="J219" s="17">
        <f>1500</f>
        <v>1500</v>
      </c>
    </row>
    <row r="220" spans="1:10" s="1" customFormat="1" x14ac:dyDescent="0.25">
      <c r="A220" s="55"/>
      <c r="B220" s="171"/>
      <c r="C220" s="6"/>
      <c r="D220" s="83" t="s">
        <v>125</v>
      </c>
      <c r="E220" s="44">
        <f>1+4</f>
        <v>5</v>
      </c>
      <c r="F220" s="40">
        <f>1500+13000</f>
        <v>14500</v>
      </c>
      <c r="G220" s="20"/>
      <c r="H220" s="17"/>
      <c r="I220" s="20">
        <f>4</f>
        <v>4</v>
      </c>
      <c r="J220" s="17">
        <f>5500</f>
        <v>5500</v>
      </c>
    </row>
    <row r="221" spans="1:10" s="1" customFormat="1" x14ac:dyDescent="0.25">
      <c r="A221" s="55"/>
      <c r="B221" s="171"/>
      <c r="C221" s="6"/>
      <c r="D221" s="83" t="s">
        <v>126</v>
      </c>
      <c r="E221" s="44">
        <f>1+1+1</f>
        <v>3</v>
      </c>
      <c r="F221" s="40">
        <f>2000+1500+1500</f>
        <v>5000</v>
      </c>
      <c r="G221" s="20"/>
      <c r="H221" s="17"/>
      <c r="I221" s="20">
        <f>1</f>
        <v>1</v>
      </c>
      <c r="J221" s="17">
        <f>1850</f>
        <v>1850</v>
      </c>
    </row>
    <row r="222" spans="1:10" s="2" customFormat="1" ht="24" customHeight="1" x14ac:dyDescent="0.25">
      <c r="A222" s="77"/>
      <c r="B222" s="171"/>
      <c r="C222" s="6"/>
      <c r="D222" s="70" t="s">
        <v>80</v>
      </c>
      <c r="E222" s="70">
        <f t="shared" ref="E222:J222" si="41">SUM(E223:E230)</f>
        <v>11</v>
      </c>
      <c r="F222" s="84">
        <f t="shared" si="41"/>
        <v>42241</v>
      </c>
      <c r="G222" s="70">
        <f t="shared" si="41"/>
        <v>0</v>
      </c>
      <c r="H222" s="84">
        <f t="shared" si="41"/>
        <v>0</v>
      </c>
      <c r="I222" s="70">
        <f t="shared" si="41"/>
        <v>1</v>
      </c>
      <c r="J222" s="71">
        <f t="shared" si="41"/>
        <v>2000</v>
      </c>
    </row>
    <row r="223" spans="1:10" s="2" customFormat="1" ht="14.25" customHeight="1" x14ac:dyDescent="0.25">
      <c r="A223" s="77"/>
      <c r="B223" s="171"/>
      <c r="C223" s="6"/>
      <c r="D223" s="83" t="s">
        <v>127</v>
      </c>
      <c r="E223" s="30"/>
      <c r="F223" s="37"/>
      <c r="G223" s="395"/>
      <c r="H223" s="17"/>
      <c r="I223" s="395"/>
      <c r="J223" s="17"/>
    </row>
    <row r="224" spans="1:10" s="2" customFormat="1" ht="14.25" customHeight="1" x14ac:dyDescent="0.25">
      <c r="A224" s="77"/>
      <c r="B224" s="171"/>
      <c r="C224" s="6"/>
      <c r="D224" s="83" t="s">
        <v>128</v>
      </c>
      <c r="E224" s="30">
        <f>1</f>
        <v>1</v>
      </c>
      <c r="F224" s="37">
        <f>1000</f>
        <v>1000</v>
      </c>
      <c r="G224" s="395"/>
      <c r="H224" s="17"/>
      <c r="I224" s="395"/>
      <c r="J224" s="17"/>
    </row>
    <row r="225" spans="1:10" s="2" customFormat="1" ht="14.25" customHeight="1" x14ac:dyDescent="0.25">
      <c r="A225" s="77"/>
      <c r="B225" s="171"/>
      <c r="C225" s="6"/>
      <c r="D225" s="83" t="s">
        <v>129</v>
      </c>
      <c r="E225" s="30">
        <f>2</f>
        <v>2</v>
      </c>
      <c r="F225" s="37">
        <f>3000</f>
        <v>3000</v>
      </c>
      <c r="G225" s="395"/>
      <c r="H225" s="17"/>
      <c r="I225" s="395"/>
      <c r="J225" s="17"/>
    </row>
    <row r="226" spans="1:10" s="2" customFormat="1" ht="14.25" customHeight="1" x14ac:dyDescent="0.25">
      <c r="A226" s="77"/>
      <c r="B226" s="171"/>
      <c r="C226" s="6"/>
      <c r="D226" s="83" t="s">
        <v>130</v>
      </c>
      <c r="E226" s="30">
        <f>1</f>
        <v>1</v>
      </c>
      <c r="F226" s="37">
        <f>2500</f>
        <v>2500</v>
      </c>
      <c r="G226" s="395"/>
      <c r="H226" s="17"/>
      <c r="I226" s="395"/>
      <c r="J226" s="17"/>
    </row>
    <row r="227" spans="1:10" s="2" customFormat="1" ht="14.25" customHeight="1" x14ac:dyDescent="0.25">
      <c r="A227" s="77"/>
      <c r="B227" s="171"/>
      <c r="C227" s="6"/>
      <c r="D227" s="83" t="s">
        <v>131</v>
      </c>
      <c r="E227" s="30">
        <f>2+2+1+1</f>
        <v>6</v>
      </c>
      <c r="F227" s="37">
        <f>3741+2500+2000+2500</f>
        <v>10741</v>
      </c>
      <c r="G227" s="395"/>
      <c r="H227" s="17"/>
      <c r="I227" s="395">
        <f>1</f>
        <v>1</v>
      </c>
      <c r="J227" s="17">
        <f>2000</f>
        <v>2000</v>
      </c>
    </row>
    <row r="228" spans="1:10" s="2" customFormat="1" ht="14.25" customHeight="1" x14ac:dyDescent="0.25">
      <c r="A228" s="77"/>
      <c r="B228" s="171"/>
      <c r="C228" s="6"/>
      <c r="D228" s="83" t="s">
        <v>132</v>
      </c>
      <c r="E228" s="30">
        <f>1</f>
        <v>1</v>
      </c>
      <c r="F228" s="37">
        <f>25000</f>
        <v>25000</v>
      </c>
      <c r="G228" s="395"/>
      <c r="H228" s="17"/>
      <c r="I228" s="395"/>
      <c r="J228" s="17"/>
    </row>
    <row r="229" spans="1:10" s="2" customFormat="1" ht="14.25" customHeight="1" x14ac:dyDescent="0.25">
      <c r="A229" s="77"/>
      <c r="B229" s="171"/>
      <c r="C229" s="6"/>
      <c r="D229" s="83" t="s">
        <v>133</v>
      </c>
      <c r="E229" s="30"/>
      <c r="F229" s="37"/>
      <c r="G229" s="395"/>
      <c r="H229" s="17"/>
      <c r="I229" s="395"/>
      <c r="J229" s="17"/>
    </row>
    <row r="230" spans="1:10" s="2" customFormat="1" ht="14.25" customHeight="1" x14ac:dyDescent="0.25">
      <c r="A230" s="77"/>
      <c r="B230" s="171"/>
      <c r="C230" s="6"/>
      <c r="D230" s="83" t="s">
        <v>134</v>
      </c>
      <c r="E230" s="30"/>
      <c r="F230" s="37"/>
      <c r="G230" s="395"/>
      <c r="H230" s="17"/>
      <c r="I230" s="395"/>
      <c r="J230" s="17"/>
    </row>
    <row r="231" spans="1:10" s="2" customFormat="1" ht="24" customHeight="1" x14ac:dyDescent="0.25">
      <c r="A231" s="77"/>
      <c r="B231" s="171"/>
      <c r="C231" s="6"/>
      <c r="D231" s="70" t="s">
        <v>97</v>
      </c>
      <c r="E231" s="70">
        <f t="shared" ref="E231:J231" si="42">SUM(E232:E238)</f>
        <v>22</v>
      </c>
      <c r="F231" s="84">
        <f t="shared" si="42"/>
        <v>30472</v>
      </c>
      <c r="G231" s="70">
        <f t="shared" si="42"/>
        <v>0</v>
      </c>
      <c r="H231" s="84">
        <f t="shared" si="42"/>
        <v>0</v>
      </c>
      <c r="I231" s="70">
        <f t="shared" si="42"/>
        <v>4</v>
      </c>
      <c r="J231" s="71">
        <f t="shared" si="42"/>
        <v>6072</v>
      </c>
    </row>
    <row r="232" spans="1:10" s="2" customFormat="1" ht="14.25" customHeight="1" x14ac:dyDescent="0.25">
      <c r="A232" s="77"/>
      <c r="B232" s="171"/>
      <c r="C232" s="6"/>
      <c r="D232" s="83" t="s">
        <v>135</v>
      </c>
      <c r="E232" s="30">
        <f>1+1</f>
        <v>2</v>
      </c>
      <c r="F232" s="37">
        <f>700+2000</f>
        <v>2700</v>
      </c>
      <c r="G232" s="395"/>
      <c r="H232" s="17"/>
      <c r="I232" s="395"/>
      <c r="J232" s="17"/>
    </row>
    <row r="233" spans="1:10" s="2" customFormat="1" ht="14.25" customHeight="1" x14ac:dyDescent="0.25">
      <c r="A233" s="77"/>
      <c r="B233" s="171"/>
      <c r="C233" s="6"/>
      <c r="D233" s="83" t="s">
        <v>136</v>
      </c>
      <c r="E233" s="30">
        <f>2+1+5+1</f>
        <v>9</v>
      </c>
      <c r="F233" s="37">
        <f>2250+1500+7500+2372</f>
        <v>13622</v>
      </c>
      <c r="G233" s="395"/>
      <c r="H233" s="17"/>
      <c r="I233" s="395">
        <f>1</f>
        <v>1</v>
      </c>
      <c r="J233" s="17">
        <f>2372</f>
        <v>2372</v>
      </c>
    </row>
    <row r="234" spans="1:10" s="2" customFormat="1" ht="14.25" customHeight="1" x14ac:dyDescent="0.25">
      <c r="A234" s="77"/>
      <c r="B234" s="171"/>
      <c r="C234" s="6"/>
      <c r="D234" s="83" t="s">
        <v>137</v>
      </c>
      <c r="E234" s="30">
        <f>1</f>
        <v>1</v>
      </c>
      <c r="F234" s="37">
        <f>1000</f>
        <v>1000</v>
      </c>
      <c r="G234" s="395"/>
      <c r="H234" s="17"/>
      <c r="I234" s="395">
        <f>1</f>
        <v>1</v>
      </c>
      <c r="J234" s="17">
        <f>1500</f>
        <v>1500</v>
      </c>
    </row>
    <row r="235" spans="1:10" s="2" customFormat="1" ht="14.25" customHeight="1" x14ac:dyDescent="0.25">
      <c r="A235" s="77"/>
      <c r="B235" s="171"/>
      <c r="C235" s="6"/>
      <c r="D235" s="83" t="s">
        <v>138</v>
      </c>
      <c r="E235" s="30"/>
      <c r="F235" s="37"/>
      <c r="G235" s="395"/>
      <c r="H235" s="17"/>
      <c r="I235" s="395">
        <f>1</f>
        <v>1</v>
      </c>
      <c r="J235" s="17">
        <f>200</f>
        <v>200</v>
      </c>
    </row>
    <row r="236" spans="1:10" s="2" customFormat="1" ht="14.25" customHeight="1" x14ac:dyDescent="0.25">
      <c r="A236" s="77"/>
      <c r="B236" s="171"/>
      <c r="C236" s="6"/>
      <c r="D236" s="83" t="s">
        <v>139</v>
      </c>
      <c r="E236" s="30">
        <f>1</f>
        <v>1</v>
      </c>
      <c r="F236" s="37">
        <f>700</f>
        <v>700</v>
      </c>
      <c r="G236" s="395"/>
      <c r="H236" s="17"/>
      <c r="I236" s="395"/>
      <c r="J236" s="17"/>
    </row>
    <row r="237" spans="1:10" s="2" customFormat="1" ht="14.25" customHeight="1" x14ac:dyDescent="0.25">
      <c r="A237" s="77"/>
      <c r="B237" s="171"/>
      <c r="C237" s="6"/>
      <c r="D237" s="83" t="s">
        <v>140</v>
      </c>
      <c r="E237" s="30">
        <f>3+2+2+1</f>
        <v>8</v>
      </c>
      <c r="F237" s="37">
        <f>6000+1250+2200+1500</f>
        <v>10950</v>
      </c>
      <c r="G237" s="395"/>
      <c r="H237" s="17"/>
      <c r="I237" s="395"/>
      <c r="J237" s="17"/>
    </row>
    <row r="238" spans="1:10" s="2" customFormat="1" ht="14.25" customHeight="1" x14ac:dyDescent="0.25">
      <c r="A238" s="77"/>
      <c r="B238" s="171"/>
      <c r="C238" s="6"/>
      <c r="D238" s="83" t="s">
        <v>141</v>
      </c>
      <c r="E238" s="30">
        <f>1</f>
        <v>1</v>
      </c>
      <c r="F238" s="37">
        <f>1500</f>
        <v>1500</v>
      </c>
      <c r="G238" s="395"/>
      <c r="H238" s="17"/>
      <c r="I238" s="395">
        <f>1</f>
        <v>1</v>
      </c>
      <c r="J238" s="17">
        <f>2000</f>
        <v>2000</v>
      </c>
    </row>
    <row r="239" spans="1:10" s="2" customFormat="1" ht="24" customHeight="1" x14ac:dyDescent="0.25">
      <c r="A239" s="77"/>
      <c r="B239" s="171"/>
      <c r="C239" s="6"/>
      <c r="D239" s="70" t="s">
        <v>98</v>
      </c>
      <c r="E239" s="70">
        <f t="shared" ref="E239:J239" si="43">SUM(E240:E247)</f>
        <v>9</v>
      </c>
      <c r="F239" s="84">
        <f t="shared" si="43"/>
        <v>37500</v>
      </c>
      <c r="G239" s="70">
        <f t="shared" si="43"/>
        <v>0</v>
      </c>
      <c r="H239" s="84">
        <f t="shared" si="43"/>
        <v>0</v>
      </c>
      <c r="I239" s="70">
        <f t="shared" si="43"/>
        <v>4</v>
      </c>
      <c r="J239" s="71">
        <f t="shared" si="43"/>
        <v>6500</v>
      </c>
    </row>
    <row r="240" spans="1:10" s="2" customFormat="1" ht="14.25" customHeight="1" x14ac:dyDescent="0.25">
      <c r="A240" s="77"/>
      <c r="B240" s="171"/>
      <c r="C240" s="6"/>
      <c r="D240" s="83" t="s">
        <v>142</v>
      </c>
      <c r="E240" s="30">
        <f>1</f>
        <v>1</v>
      </c>
      <c r="F240" s="37">
        <f>1500</f>
        <v>1500</v>
      </c>
      <c r="G240" s="395"/>
      <c r="H240" s="17"/>
      <c r="I240" s="395"/>
      <c r="J240" s="17"/>
    </row>
    <row r="241" spans="1:10" s="2" customFormat="1" ht="14.25" customHeight="1" x14ac:dyDescent="0.25">
      <c r="A241" s="77"/>
      <c r="B241" s="171"/>
      <c r="C241" s="6"/>
      <c r="D241" s="83" t="s">
        <v>143</v>
      </c>
      <c r="E241" s="30"/>
      <c r="F241" s="37"/>
      <c r="G241" s="395"/>
      <c r="H241" s="17"/>
      <c r="I241" s="395"/>
      <c r="J241" s="17"/>
    </row>
    <row r="242" spans="1:10" s="2" customFormat="1" ht="14.25" customHeight="1" x14ac:dyDescent="0.25">
      <c r="A242" s="77"/>
      <c r="B242" s="171"/>
      <c r="C242" s="6"/>
      <c r="D242" s="83" t="s">
        <v>144</v>
      </c>
      <c r="E242" s="30">
        <f>1</f>
        <v>1</v>
      </c>
      <c r="F242" s="37">
        <f>10000</f>
        <v>10000</v>
      </c>
      <c r="G242" s="395"/>
      <c r="H242" s="17"/>
      <c r="I242" s="395">
        <f>1</f>
        <v>1</v>
      </c>
      <c r="J242" s="17">
        <f>1500</f>
        <v>1500</v>
      </c>
    </row>
    <row r="243" spans="1:10" s="2" customFormat="1" ht="14.25" customHeight="1" x14ac:dyDescent="0.25">
      <c r="A243" s="77"/>
      <c r="B243" s="171"/>
      <c r="C243" s="6"/>
      <c r="D243" s="83" t="s">
        <v>145</v>
      </c>
      <c r="E243" s="30">
        <f>2</f>
        <v>2</v>
      </c>
      <c r="F243" s="37">
        <f>20000</f>
        <v>20000</v>
      </c>
      <c r="G243" s="395"/>
      <c r="H243" s="17"/>
      <c r="I243" s="395"/>
      <c r="J243" s="17"/>
    </row>
    <row r="244" spans="1:10" s="2" customFormat="1" ht="14.25" customHeight="1" x14ac:dyDescent="0.25">
      <c r="A244" s="77"/>
      <c r="B244" s="171"/>
      <c r="C244" s="6"/>
      <c r="D244" s="83" t="s">
        <v>146</v>
      </c>
      <c r="E244" s="30">
        <f>1</f>
        <v>1</v>
      </c>
      <c r="F244" s="37">
        <f>1000</f>
        <v>1000</v>
      </c>
      <c r="G244" s="395"/>
      <c r="H244" s="17"/>
      <c r="I244" s="395"/>
      <c r="J244" s="17"/>
    </row>
    <row r="245" spans="1:10" s="2" customFormat="1" ht="14.25" customHeight="1" x14ac:dyDescent="0.25">
      <c r="A245" s="77"/>
      <c r="B245" s="171"/>
      <c r="C245" s="6"/>
      <c r="D245" s="83" t="s">
        <v>147</v>
      </c>
      <c r="E245" s="30"/>
      <c r="F245" s="37"/>
      <c r="G245" s="395"/>
      <c r="H245" s="17"/>
      <c r="I245" s="395">
        <f>1+1</f>
        <v>2</v>
      </c>
      <c r="J245" s="17">
        <f>1500+500</f>
        <v>2000</v>
      </c>
    </row>
    <row r="246" spans="1:10" s="2" customFormat="1" ht="14.25" customHeight="1" x14ac:dyDescent="0.25">
      <c r="A246" s="77"/>
      <c r="B246" s="171"/>
      <c r="C246" s="6"/>
      <c r="D246" s="83" t="s">
        <v>148</v>
      </c>
      <c r="E246" s="30">
        <f>2+1+1</f>
        <v>4</v>
      </c>
      <c r="F246" s="37">
        <f>2000+1500+1500</f>
        <v>5000</v>
      </c>
      <c r="G246" s="395"/>
      <c r="H246" s="17"/>
      <c r="I246" s="395">
        <f>1</f>
        <v>1</v>
      </c>
      <c r="J246" s="17">
        <f>3000</f>
        <v>3000</v>
      </c>
    </row>
    <row r="247" spans="1:10" s="2" customFormat="1" ht="14.25" customHeight="1" x14ac:dyDescent="0.25">
      <c r="A247" s="77"/>
      <c r="B247" s="172"/>
      <c r="C247" s="6"/>
      <c r="D247" s="83" t="s">
        <v>149</v>
      </c>
      <c r="E247" s="30"/>
      <c r="F247" s="37"/>
      <c r="G247" s="395"/>
      <c r="H247" s="17"/>
      <c r="I247" s="395"/>
      <c r="J247" s="17"/>
    </row>
    <row r="248" spans="1:10" s="8" customFormat="1" ht="5.25" customHeight="1" x14ac:dyDescent="0.25">
      <c r="A248" s="7"/>
      <c r="B248" s="7"/>
      <c r="C248" s="7"/>
      <c r="D248" s="7"/>
      <c r="E248" s="7"/>
      <c r="F248" s="93"/>
      <c r="G248" s="7"/>
      <c r="H248" s="93"/>
      <c r="I248" s="7"/>
      <c r="J248" s="7"/>
    </row>
    <row r="249" spans="1:10" s="9" customFormat="1" ht="24.75" customHeight="1" x14ac:dyDescent="0.25">
      <c r="A249" s="6" t="s">
        <v>23</v>
      </c>
      <c r="B249" s="831" t="s">
        <v>58</v>
      </c>
      <c r="C249" s="926" t="s">
        <v>24</v>
      </c>
      <c r="D249" s="155" t="s">
        <v>81</v>
      </c>
      <c r="E249" s="161">
        <f t="shared" ref="E249:J249" si="44">E250+E251+E261+E270+E278</f>
        <v>26115</v>
      </c>
      <c r="F249" s="158">
        <f t="shared" si="44"/>
        <v>6772466.2599999998</v>
      </c>
      <c r="G249" s="161">
        <f t="shared" si="44"/>
        <v>0</v>
      </c>
      <c r="H249" s="158">
        <f t="shared" si="44"/>
        <v>0</v>
      </c>
      <c r="I249" s="161">
        <f t="shared" si="44"/>
        <v>0</v>
      </c>
      <c r="J249" s="161">
        <f t="shared" si="44"/>
        <v>0</v>
      </c>
    </row>
    <row r="250" spans="1:10" s="9" customFormat="1" ht="23.25" customHeight="1" x14ac:dyDescent="0.25">
      <c r="A250" s="54"/>
      <c r="B250" s="832"/>
      <c r="C250" s="927"/>
      <c r="D250" s="154" t="s">
        <v>216</v>
      </c>
      <c r="E250" s="165">
        <v>1800</v>
      </c>
      <c r="F250" s="166">
        <v>450000</v>
      </c>
      <c r="G250" s="63"/>
      <c r="H250" s="78"/>
      <c r="I250" s="63"/>
      <c r="J250" s="63"/>
    </row>
    <row r="251" spans="1:10" s="9" customFormat="1" ht="20.25" customHeight="1" x14ac:dyDescent="0.25">
      <c r="A251" s="54"/>
      <c r="B251" s="832"/>
      <c r="C251" s="6"/>
      <c r="D251" s="70" t="s">
        <v>79</v>
      </c>
      <c r="E251" s="64">
        <f t="shared" ref="E251:J251" si="45">SUM(E252:E260)</f>
        <v>3785</v>
      </c>
      <c r="F251" s="78">
        <f t="shared" si="45"/>
        <v>1196250</v>
      </c>
      <c r="G251" s="63">
        <f t="shared" si="45"/>
        <v>0</v>
      </c>
      <c r="H251" s="78">
        <f t="shared" si="45"/>
        <v>0</v>
      </c>
      <c r="I251" s="63">
        <f t="shared" si="45"/>
        <v>0</v>
      </c>
      <c r="J251" s="78">
        <f t="shared" si="45"/>
        <v>0</v>
      </c>
    </row>
    <row r="252" spans="1:10" s="16" customFormat="1" ht="15" customHeight="1" x14ac:dyDescent="0.25">
      <c r="A252" s="869"/>
      <c r="B252" s="832"/>
      <c r="C252" s="6"/>
      <c r="D252" s="83" t="s">
        <v>118</v>
      </c>
      <c r="E252" s="44">
        <f>1435</f>
        <v>1435</v>
      </c>
      <c r="F252" s="41">
        <f>608750</f>
        <v>608750</v>
      </c>
      <c r="G252" s="410"/>
      <c r="H252" s="53"/>
      <c r="I252" s="410"/>
      <c r="J252" s="53"/>
    </row>
    <row r="253" spans="1:10" s="1" customFormat="1" x14ac:dyDescent="0.25">
      <c r="A253" s="870"/>
      <c r="B253" s="832"/>
      <c r="C253" s="6"/>
      <c r="D253" s="83" t="s">
        <v>119</v>
      </c>
      <c r="E253" s="44"/>
      <c r="F253" s="38"/>
      <c r="G253" s="20"/>
      <c r="H253" s="17"/>
      <c r="I253" s="20"/>
      <c r="J253" s="17"/>
    </row>
    <row r="254" spans="1:10" s="1" customFormat="1" x14ac:dyDescent="0.25">
      <c r="A254" s="55"/>
      <c r="B254" s="832"/>
      <c r="C254" s="6"/>
      <c r="D254" s="83" t="s">
        <v>120</v>
      </c>
      <c r="E254" s="44"/>
      <c r="F254" s="39"/>
      <c r="G254" s="20"/>
      <c r="H254" s="17"/>
      <c r="I254" s="20"/>
      <c r="J254" s="17"/>
    </row>
    <row r="255" spans="1:10" s="1" customFormat="1" x14ac:dyDescent="0.25">
      <c r="A255" s="55"/>
      <c r="B255" s="832"/>
      <c r="C255" s="6"/>
      <c r="D255" s="83" t="s">
        <v>121</v>
      </c>
      <c r="E255" s="44"/>
      <c r="F255" s="39"/>
      <c r="G255" s="20"/>
      <c r="H255" s="17"/>
      <c r="I255" s="20"/>
      <c r="J255" s="17"/>
    </row>
    <row r="256" spans="1:10" s="1" customFormat="1" x14ac:dyDescent="0.25">
      <c r="A256" s="55"/>
      <c r="B256" s="832"/>
      <c r="C256" s="6"/>
      <c r="D256" s="83" t="s">
        <v>122</v>
      </c>
      <c r="E256" s="44"/>
      <c r="F256" s="39"/>
      <c r="G256" s="20"/>
      <c r="H256" s="17"/>
      <c r="I256" s="20"/>
      <c r="J256" s="17"/>
    </row>
    <row r="257" spans="1:10" s="1" customFormat="1" x14ac:dyDescent="0.25">
      <c r="A257" s="55"/>
      <c r="B257" s="832"/>
      <c r="C257" s="6"/>
      <c r="D257" s="83" t="s">
        <v>123</v>
      </c>
      <c r="E257" s="44">
        <f>150</f>
        <v>150</v>
      </c>
      <c r="F257" s="40">
        <f>37500</f>
        <v>37500</v>
      </c>
      <c r="G257" s="20"/>
      <c r="H257" s="17"/>
      <c r="I257" s="20"/>
      <c r="J257" s="17"/>
    </row>
    <row r="258" spans="1:10" s="1" customFormat="1" x14ac:dyDescent="0.25">
      <c r="A258" s="55"/>
      <c r="B258" s="832"/>
      <c r="C258" s="6"/>
      <c r="D258" s="83" t="s">
        <v>124</v>
      </c>
      <c r="E258" s="44"/>
      <c r="F258" s="40"/>
      <c r="G258" s="20"/>
      <c r="H258" s="17"/>
      <c r="I258" s="20"/>
      <c r="J258" s="17"/>
    </row>
    <row r="259" spans="1:10" s="1" customFormat="1" x14ac:dyDescent="0.25">
      <c r="A259" s="55"/>
      <c r="B259" s="832"/>
      <c r="C259" s="6"/>
      <c r="D259" s="83" t="s">
        <v>125</v>
      </c>
      <c r="E259" s="44"/>
      <c r="F259" s="40"/>
      <c r="G259" s="20"/>
      <c r="H259" s="17"/>
      <c r="I259" s="20"/>
      <c r="J259" s="17"/>
    </row>
    <row r="260" spans="1:10" s="1" customFormat="1" x14ac:dyDescent="0.25">
      <c r="A260" s="55"/>
      <c r="B260" s="832"/>
      <c r="C260" s="6"/>
      <c r="D260" s="83" t="s">
        <v>126</v>
      </c>
      <c r="E260" s="44">
        <f>2200</f>
        <v>2200</v>
      </c>
      <c r="F260" s="40">
        <f>550000</f>
        <v>550000</v>
      </c>
      <c r="G260" s="20"/>
      <c r="H260" s="17"/>
      <c r="I260" s="20"/>
      <c r="J260" s="17"/>
    </row>
    <row r="261" spans="1:10" s="2" customFormat="1" ht="17.25" customHeight="1" x14ac:dyDescent="0.25">
      <c r="A261" s="77"/>
      <c r="B261" s="832"/>
      <c r="C261" s="6"/>
      <c r="D261" s="70" t="s">
        <v>80</v>
      </c>
      <c r="E261" s="70">
        <f t="shared" ref="E261:J261" si="46">SUM(E262:E269)</f>
        <v>990</v>
      </c>
      <c r="F261" s="84">
        <f t="shared" si="46"/>
        <v>247550</v>
      </c>
      <c r="G261" s="70">
        <f t="shared" si="46"/>
        <v>0</v>
      </c>
      <c r="H261" s="84">
        <f t="shared" si="46"/>
        <v>0</v>
      </c>
      <c r="I261" s="70">
        <f t="shared" si="46"/>
        <v>0</v>
      </c>
      <c r="J261" s="71">
        <f t="shared" si="46"/>
        <v>0</v>
      </c>
    </row>
    <row r="262" spans="1:10" s="2" customFormat="1" ht="14.25" customHeight="1" x14ac:dyDescent="0.25">
      <c r="A262" s="77"/>
      <c r="B262" s="832"/>
      <c r="C262" s="6"/>
      <c r="D262" s="83" t="s">
        <v>127</v>
      </c>
      <c r="E262" s="30">
        <v>990</v>
      </c>
      <c r="F262" s="37">
        <v>247550</v>
      </c>
      <c r="G262" s="395"/>
      <c r="H262" s="17"/>
      <c r="I262" s="395"/>
      <c r="J262" s="17"/>
    </row>
    <row r="263" spans="1:10" s="2" customFormat="1" ht="14.25" customHeight="1" x14ac:dyDescent="0.25">
      <c r="A263" s="77"/>
      <c r="B263" s="832"/>
      <c r="C263" s="6"/>
      <c r="D263" s="83" t="s">
        <v>128</v>
      </c>
      <c r="E263" s="30"/>
      <c r="F263" s="37"/>
      <c r="G263" s="395"/>
      <c r="H263" s="17"/>
      <c r="I263" s="395"/>
      <c r="J263" s="17"/>
    </row>
    <row r="264" spans="1:10" s="2" customFormat="1" ht="14.25" customHeight="1" x14ac:dyDescent="0.25">
      <c r="A264" s="77"/>
      <c r="B264" s="832"/>
      <c r="C264" s="6"/>
      <c r="D264" s="83" t="s">
        <v>129</v>
      </c>
      <c r="E264" s="30"/>
      <c r="F264" s="37"/>
      <c r="G264" s="395"/>
      <c r="H264" s="17"/>
      <c r="I264" s="395"/>
      <c r="J264" s="17"/>
    </row>
    <row r="265" spans="1:10" s="2" customFormat="1" ht="14.25" customHeight="1" x14ac:dyDescent="0.25">
      <c r="A265" s="77"/>
      <c r="B265" s="832"/>
      <c r="C265" s="6"/>
      <c r="D265" s="83" t="s">
        <v>130</v>
      </c>
      <c r="E265" s="30"/>
      <c r="F265" s="37"/>
      <c r="G265" s="395"/>
      <c r="H265" s="17"/>
      <c r="I265" s="395"/>
      <c r="J265" s="17"/>
    </row>
    <row r="266" spans="1:10" s="2" customFormat="1" ht="14.25" customHeight="1" x14ac:dyDescent="0.25">
      <c r="A266" s="77"/>
      <c r="B266" s="832"/>
      <c r="C266" s="6"/>
      <c r="D266" s="83" t="s">
        <v>131</v>
      </c>
      <c r="E266" s="30"/>
      <c r="F266" s="37"/>
      <c r="G266" s="395"/>
      <c r="H266" s="17"/>
      <c r="I266" s="395"/>
      <c r="J266" s="17"/>
    </row>
    <row r="267" spans="1:10" s="2" customFormat="1" ht="14.25" customHeight="1" x14ac:dyDescent="0.25">
      <c r="A267" s="77"/>
      <c r="B267" s="832"/>
      <c r="C267" s="6"/>
      <c r="D267" s="83" t="s">
        <v>132</v>
      </c>
      <c r="E267" s="30"/>
      <c r="F267" s="37"/>
      <c r="G267" s="395"/>
      <c r="H267" s="17"/>
      <c r="I267" s="395"/>
      <c r="J267" s="17"/>
    </row>
    <row r="268" spans="1:10" s="2" customFormat="1" ht="14.25" customHeight="1" x14ac:dyDescent="0.25">
      <c r="A268" s="77"/>
      <c r="B268" s="832"/>
      <c r="C268" s="6"/>
      <c r="D268" s="83" t="s">
        <v>133</v>
      </c>
      <c r="E268" s="30"/>
      <c r="F268" s="37"/>
      <c r="G268" s="395"/>
      <c r="H268" s="17"/>
      <c r="I268" s="395"/>
      <c r="J268" s="17"/>
    </row>
    <row r="269" spans="1:10" s="2" customFormat="1" ht="14.25" customHeight="1" x14ac:dyDescent="0.25">
      <c r="A269" s="77"/>
      <c r="B269" s="832"/>
      <c r="C269" s="6"/>
      <c r="D269" s="83" t="s">
        <v>134</v>
      </c>
      <c r="E269" s="30"/>
      <c r="F269" s="37"/>
      <c r="G269" s="395"/>
      <c r="H269" s="17"/>
      <c r="I269" s="395"/>
      <c r="J269" s="17"/>
    </row>
    <row r="270" spans="1:10" s="2" customFormat="1" ht="18.75" customHeight="1" x14ac:dyDescent="0.25">
      <c r="A270" s="77"/>
      <c r="B270" s="832"/>
      <c r="C270" s="6"/>
      <c r="D270" s="70" t="s">
        <v>97</v>
      </c>
      <c r="E270" s="70">
        <f t="shared" ref="E270:J270" si="47">SUM(E271:E277)</f>
        <v>7595</v>
      </c>
      <c r="F270" s="84">
        <f t="shared" si="47"/>
        <v>1892400.76</v>
      </c>
      <c r="G270" s="70">
        <f t="shared" si="47"/>
        <v>0</v>
      </c>
      <c r="H270" s="84">
        <f t="shared" si="47"/>
        <v>0</v>
      </c>
      <c r="I270" s="70">
        <f t="shared" si="47"/>
        <v>0</v>
      </c>
      <c r="J270" s="71">
        <f t="shared" si="47"/>
        <v>0</v>
      </c>
    </row>
    <row r="271" spans="1:10" s="2" customFormat="1" ht="14.25" customHeight="1" x14ac:dyDescent="0.25">
      <c r="A271" s="77"/>
      <c r="B271" s="832"/>
      <c r="C271" s="6"/>
      <c r="D271" s="83" t="s">
        <v>135</v>
      </c>
      <c r="E271" s="30">
        <v>400</v>
      </c>
      <c r="F271" s="37">
        <v>100000</v>
      </c>
      <c r="G271" s="395"/>
      <c r="H271" s="17"/>
      <c r="I271" s="395"/>
      <c r="J271" s="17"/>
    </row>
    <row r="272" spans="1:10" s="2" customFormat="1" ht="14.25" customHeight="1" x14ac:dyDescent="0.25">
      <c r="A272" s="77"/>
      <c r="B272" s="832"/>
      <c r="C272" s="6"/>
      <c r="D272" s="83" t="s">
        <v>136</v>
      </c>
      <c r="E272" s="30">
        <v>3345</v>
      </c>
      <c r="F272" s="37">
        <v>829900.76</v>
      </c>
      <c r="G272" s="395"/>
      <c r="H272" s="17"/>
      <c r="I272" s="395"/>
      <c r="J272" s="17"/>
    </row>
    <row r="273" spans="1:10" s="2" customFormat="1" ht="14.25" customHeight="1" x14ac:dyDescent="0.25">
      <c r="A273" s="77"/>
      <c r="B273" s="832"/>
      <c r="C273" s="6"/>
      <c r="D273" s="83" t="s">
        <v>137</v>
      </c>
      <c r="E273" s="30"/>
      <c r="F273" s="37"/>
      <c r="G273" s="395"/>
      <c r="H273" s="17"/>
      <c r="I273" s="395"/>
      <c r="J273" s="17"/>
    </row>
    <row r="274" spans="1:10" s="2" customFormat="1" ht="14.25" customHeight="1" x14ac:dyDescent="0.25">
      <c r="A274" s="77"/>
      <c r="B274" s="832"/>
      <c r="C274" s="6"/>
      <c r="D274" s="83" t="s">
        <v>138</v>
      </c>
      <c r="E274" s="30"/>
      <c r="F274" s="37"/>
      <c r="G274" s="395"/>
      <c r="H274" s="17"/>
      <c r="I274" s="395"/>
      <c r="J274" s="17"/>
    </row>
    <row r="275" spans="1:10" s="2" customFormat="1" ht="14.25" customHeight="1" x14ac:dyDescent="0.25">
      <c r="A275" s="77"/>
      <c r="B275" s="832"/>
      <c r="C275" s="6"/>
      <c r="D275" s="83" t="s">
        <v>139</v>
      </c>
      <c r="E275" s="30">
        <v>1850</v>
      </c>
      <c r="F275" s="37">
        <v>462500</v>
      </c>
      <c r="G275" s="395"/>
      <c r="H275" s="17"/>
      <c r="I275" s="395"/>
      <c r="J275" s="17"/>
    </row>
    <row r="276" spans="1:10" s="2" customFormat="1" ht="14.25" customHeight="1" x14ac:dyDescent="0.25">
      <c r="A276" s="77"/>
      <c r="B276" s="832"/>
      <c r="C276" s="6"/>
      <c r="D276" s="83" t="s">
        <v>140</v>
      </c>
      <c r="E276" s="30"/>
      <c r="F276" s="37"/>
      <c r="G276" s="395"/>
      <c r="H276" s="17"/>
      <c r="I276" s="395"/>
      <c r="J276" s="17"/>
    </row>
    <row r="277" spans="1:10" s="2" customFormat="1" ht="14.25" customHeight="1" x14ac:dyDescent="0.25">
      <c r="A277" s="77"/>
      <c r="B277" s="832"/>
      <c r="C277" s="6"/>
      <c r="D277" s="83" t="s">
        <v>141</v>
      </c>
      <c r="E277" s="30">
        <v>2000</v>
      </c>
      <c r="F277" s="37">
        <v>500000</v>
      </c>
      <c r="G277" s="395"/>
      <c r="H277" s="17"/>
      <c r="I277" s="395"/>
      <c r="J277" s="17"/>
    </row>
    <row r="278" spans="1:10" s="2" customFormat="1" ht="24" customHeight="1" x14ac:dyDescent="0.25">
      <c r="A278" s="77"/>
      <c r="B278" s="832"/>
      <c r="C278" s="6"/>
      <c r="D278" s="70" t="s">
        <v>98</v>
      </c>
      <c r="E278" s="70">
        <f t="shared" ref="E278:J278" si="48">SUM(E279:E287)</f>
        <v>11945</v>
      </c>
      <c r="F278" s="84">
        <f t="shared" si="48"/>
        <v>2986265.5</v>
      </c>
      <c r="G278" s="70">
        <f t="shared" si="48"/>
        <v>0</v>
      </c>
      <c r="H278" s="84">
        <f t="shared" si="48"/>
        <v>0</v>
      </c>
      <c r="I278" s="70">
        <f t="shared" si="48"/>
        <v>0</v>
      </c>
      <c r="J278" s="71">
        <f t="shared" si="48"/>
        <v>0</v>
      </c>
    </row>
    <row r="279" spans="1:10" s="2" customFormat="1" ht="14.25" customHeight="1" x14ac:dyDescent="0.25">
      <c r="A279" s="77"/>
      <c r="B279" s="832"/>
      <c r="C279" s="6"/>
      <c r="D279" s="83" t="s">
        <v>142</v>
      </c>
      <c r="E279" s="30">
        <v>3800</v>
      </c>
      <c r="F279" s="37">
        <v>950000</v>
      </c>
      <c r="G279" s="395"/>
      <c r="H279" s="17"/>
      <c r="I279" s="395"/>
      <c r="J279" s="17"/>
    </row>
    <row r="280" spans="1:10" s="2" customFormat="1" ht="14.25" customHeight="1" x14ac:dyDescent="0.25">
      <c r="A280" s="77"/>
      <c r="B280" s="832"/>
      <c r="C280" s="6"/>
      <c r="D280" s="83" t="s">
        <v>143</v>
      </c>
      <c r="E280" s="30"/>
      <c r="F280" s="37"/>
      <c r="G280" s="395"/>
      <c r="H280" s="17"/>
      <c r="I280" s="395"/>
      <c r="J280" s="17"/>
    </row>
    <row r="281" spans="1:10" s="2" customFormat="1" ht="14.25" customHeight="1" x14ac:dyDescent="0.25">
      <c r="A281" s="77"/>
      <c r="B281" s="832"/>
      <c r="C281" s="6"/>
      <c r="D281" s="83" t="s">
        <v>144</v>
      </c>
      <c r="E281" s="30">
        <v>1500</v>
      </c>
      <c r="F281" s="37">
        <v>375000</v>
      </c>
      <c r="G281" s="395"/>
      <c r="H281" s="17"/>
      <c r="I281" s="395"/>
      <c r="J281" s="17"/>
    </row>
    <row r="282" spans="1:10" s="2" customFormat="1" ht="14.25" customHeight="1" x14ac:dyDescent="0.25">
      <c r="A282" s="77"/>
      <c r="B282" s="832"/>
      <c r="C282" s="6"/>
      <c r="D282" s="83" t="s">
        <v>145</v>
      </c>
      <c r="E282" s="30">
        <f>2000+145</f>
        <v>2145</v>
      </c>
      <c r="F282" s="37">
        <f>500000+36265.5</f>
        <v>536265.5</v>
      </c>
      <c r="G282" s="395"/>
      <c r="H282" s="17"/>
      <c r="I282" s="395"/>
      <c r="J282" s="17"/>
    </row>
    <row r="283" spans="1:10" s="2" customFormat="1" ht="14.25" customHeight="1" x14ac:dyDescent="0.25">
      <c r="A283" s="77"/>
      <c r="B283" s="832"/>
      <c r="C283" s="6"/>
      <c r="D283" s="83" t="s">
        <v>146</v>
      </c>
      <c r="E283" s="30"/>
      <c r="F283" s="37"/>
      <c r="G283" s="395"/>
      <c r="H283" s="17"/>
      <c r="I283" s="395"/>
      <c r="J283" s="17"/>
    </row>
    <row r="284" spans="1:10" s="2" customFormat="1" ht="14.25" customHeight="1" x14ac:dyDescent="0.25">
      <c r="A284" s="77"/>
      <c r="B284" s="832"/>
      <c r="C284" s="6"/>
      <c r="D284" s="83" t="s">
        <v>147</v>
      </c>
      <c r="E284" s="30"/>
      <c r="F284" s="37"/>
      <c r="G284" s="395"/>
      <c r="H284" s="17"/>
      <c r="I284" s="395"/>
      <c r="J284" s="17"/>
    </row>
    <row r="285" spans="1:10" s="2" customFormat="1" ht="14.25" customHeight="1" x14ac:dyDescent="0.25">
      <c r="A285" s="77"/>
      <c r="B285" s="832"/>
      <c r="C285" s="6"/>
      <c r="D285" s="83" t="s">
        <v>148</v>
      </c>
      <c r="E285" s="30">
        <v>1000</v>
      </c>
      <c r="F285" s="37">
        <v>250000</v>
      </c>
      <c r="G285" s="395"/>
      <c r="H285" s="17"/>
      <c r="I285" s="395"/>
      <c r="J285" s="17"/>
    </row>
    <row r="286" spans="1:10" s="2" customFormat="1" ht="14.25" customHeight="1" x14ac:dyDescent="0.25">
      <c r="A286" s="103"/>
      <c r="B286" s="832"/>
      <c r="C286" s="6"/>
      <c r="D286" s="83" t="s">
        <v>214</v>
      </c>
      <c r="E286" s="30">
        <v>1500</v>
      </c>
      <c r="F286" s="37">
        <v>375000</v>
      </c>
      <c r="G286" s="395"/>
      <c r="H286" s="17"/>
      <c r="I286" s="395"/>
      <c r="J286" s="17"/>
    </row>
    <row r="287" spans="1:10" s="2" customFormat="1" ht="14.25" customHeight="1" x14ac:dyDescent="0.25">
      <c r="A287" s="77"/>
      <c r="B287" s="832"/>
      <c r="C287" s="6"/>
      <c r="D287" s="83" t="s">
        <v>215</v>
      </c>
      <c r="E287" s="30">
        <v>2000</v>
      </c>
      <c r="F287" s="37">
        <v>500000</v>
      </c>
      <c r="G287" s="395"/>
      <c r="H287" s="17"/>
      <c r="I287" s="395"/>
      <c r="J287" s="17"/>
    </row>
    <row r="288" spans="1:10" s="8" customFormat="1" ht="6" customHeight="1" x14ac:dyDescent="0.25">
      <c r="A288" s="7"/>
      <c r="B288" s="7"/>
      <c r="C288" s="7"/>
      <c r="D288" s="7"/>
      <c r="E288" s="7"/>
      <c r="F288" s="93"/>
      <c r="G288" s="7"/>
      <c r="H288" s="93"/>
      <c r="I288" s="7"/>
      <c r="J288" s="7"/>
    </row>
    <row r="289" spans="1:10" s="9" customFormat="1" ht="30" customHeight="1" x14ac:dyDescent="0.25">
      <c r="A289" s="54" t="s">
        <v>63</v>
      </c>
      <c r="B289" s="831" t="s">
        <v>64</v>
      </c>
      <c r="C289" s="6" t="s">
        <v>65</v>
      </c>
      <c r="D289" s="155" t="s">
        <v>81</v>
      </c>
      <c r="E289" s="161">
        <f t="shared" ref="E289:J289" si="49">E290+E300+E309+E317</f>
        <v>0</v>
      </c>
      <c r="F289" s="161">
        <f t="shared" si="49"/>
        <v>0</v>
      </c>
      <c r="G289" s="161">
        <f t="shared" si="49"/>
        <v>0</v>
      </c>
      <c r="H289" s="161">
        <f t="shared" si="49"/>
        <v>0</v>
      </c>
      <c r="I289" s="161">
        <f t="shared" si="49"/>
        <v>0</v>
      </c>
      <c r="J289" s="161">
        <f t="shared" si="49"/>
        <v>0</v>
      </c>
    </row>
    <row r="290" spans="1:10" s="9" customFormat="1" ht="30" customHeight="1" x14ac:dyDescent="0.25">
      <c r="A290" s="54"/>
      <c r="B290" s="879"/>
      <c r="C290" s="6"/>
      <c r="D290" s="70" t="s">
        <v>79</v>
      </c>
      <c r="E290" s="64"/>
      <c r="F290" s="95"/>
      <c r="G290" s="63">
        <f>SUM(G291:G299)</f>
        <v>0</v>
      </c>
      <c r="H290" s="78">
        <f>SUM(H291:H299)</f>
        <v>0</v>
      </c>
      <c r="I290" s="63">
        <f>SUM(I291:I299)</f>
        <v>0</v>
      </c>
      <c r="J290" s="78">
        <f>SUM(J291:J299)</f>
        <v>0</v>
      </c>
    </row>
    <row r="291" spans="1:10" s="16" customFormat="1" ht="15" customHeight="1" x14ac:dyDescent="0.25">
      <c r="A291" s="869"/>
      <c r="B291" s="879"/>
      <c r="C291" s="6"/>
      <c r="D291" s="83" t="s">
        <v>118</v>
      </c>
      <c r="E291" s="44"/>
      <c r="F291" s="41"/>
      <c r="G291" s="410"/>
      <c r="H291" s="53"/>
      <c r="I291" s="410"/>
      <c r="J291" s="53"/>
    </row>
    <row r="292" spans="1:10" s="1" customFormat="1" ht="15" customHeight="1" x14ac:dyDescent="0.25">
      <c r="A292" s="870"/>
      <c r="B292" s="879"/>
      <c r="C292" s="6"/>
      <c r="D292" s="83" t="s">
        <v>119</v>
      </c>
      <c r="E292" s="44"/>
      <c r="F292" s="38"/>
      <c r="G292" s="20"/>
      <c r="H292" s="17"/>
      <c r="I292" s="20"/>
      <c r="J292" s="17"/>
    </row>
    <row r="293" spans="1:10" s="1" customFormat="1" ht="15" customHeight="1" x14ac:dyDescent="0.25">
      <c r="A293" s="55"/>
      <c r="B293" s="879"/>
      <c r="C293" s="6"/>
      <c r="D293" s="83" t="s">
        <v>120</v>
      </c>
      <c r="E293" s="44"/>
      <c r="F293" s="39"/>
      <c r="G293" s="20"/>
      <c r="H293" s="17"/>
      <c r="I293" s="20"/>
      <c r="J293" s="17"/>
    </row>
    <row r="294" spans="1:10" s="1" customFormat="1" ht="15" customHeight="1" x14ac:dyDescent="0.25">
      <c r="A294" s="55"/>
      <c r="B294" s="879"/>
      <c r="C294" s="6"/>
      <c r="D294" s="83" t="s">
        <v>121</v>
      </c>
      <c r="E294" s="44"/>
      <c r="F294" s="39"/>
      <c r="G294" s="20"/>
      <c r="H294" s="17"/>
      <c r="I294" s="20"/>
      <c r="J294" s="17"/>
    </row>
    <row r="295" spans="1:10" s="1" customFormat="1" ht="15" customHeight="1" x14ac:dyDescent="0.25">
      <c r="A295" s="55"/>
      <c r="B295" s="879"/>
      <c r="C295" s="6"/>
      <c r="D295" s="83" t="s">
        <v>122</v>
      </c>
      <c r="E295" s="44"/>
      <c r="F295" s="39"/>
      <c r="G295" s="20"/>
      <c r="H295" s="17"/>
      <c r="I295" s="20"/>
      <c r="J295" s="17"/>
    </row>
    <row r="296" spans="1:10" s="1" customFormat="1" ht="15" customHeight="1" x14ac:dyDescent="0.25">
      <c r="A296" s="55"/>
      <c r="B296" s="879"/>
      <c r="C296" s="6"/>
      <c r="D296" s="83" t="s">
        <v>123</v>
      </c>
      <c r="E296" s="44"/>
      <c r="F296" s="40"/>
      <c r="G296" s="20"/>
      <c r="H296" s="17"/>
      <c r="I296" s="20"/>
      <c r="J296" s="17"/>
    </row>
    <row r="297" spans="1:10" s="1" customFormat="1" ht="15" customHeight="1" x14ac:dyDescent="0.25">
      <c r="A297" s="55"/>
      <c r="B297" s="879"/>
      <c r="C297" s="6"/>
      <c r="D297" s="83" t="s">
        <v>124</v>
      </c>
      <c r="E297" s="44"/>
      <c r="F297" s="40"/>
      <c r="G297" s="20"/>
      <c r="H297" s="17"/>
      <c r="I297" s="20"/>
      <c r="J297" s="17"/>
    </row>
    <row r="298" spans="1:10" s="1" customFormat="1" ht="15" customHeight="1" x14ac:dyDescent="0.25">
      <c r="A298" s="55"/>
      <c r="B298" s="879"/>
      <c r="C298" s="6"/>
      <c r="D298" s="83" t="s">
        <v>125</v>
      </c>
      <c r="E298" s="44"/>
      <c r="F298" s="40"/>
      <c r="G298" s="20"/>
      <c r="H298" s="17"/>
      <c r="I298" s="20"/>
      <c r="J298" s="17"/>
    </row>
    <row r="299" spans="1:10" s="1" customFormat="1" ht="15" customHeight="1" x14ac:dyDescent="0.25">
      <c r="A299" s="55"/>
      <c r="B299" s="879"/>
      <c r="C299" s="6"/>
      <c r="D299" s="83" t="s">
        <v>126</v>
      </c>
      <c r="E299" s="44"/>
      <c r="F299" s="40"/>
      <c r="G299" s="20"/>
      <c r="H299" s="17"/>
      <c r="I299" s="20"/>
      <c r="J299" s="17"/>
    </row>
    <row r="300" spans="1:10" s="2" customFormat="1" ht="24" customHeight="1" x14ac:dyDescent="0.25">
      <c r="A300" s="77"/>
      <c r="B300" s="879"/>
      <c r="C300" s="6"/>
      <c r="D300" s="70" t="s">
        <v>80</v>
      </c>
      <c r="E300" s="70">
        <f t="shared" ref="E300:J300" si="50">SUM(E301:E308)</f>
        <v>0</v>
      </c>
      <c r="F300" s="84">
        <f t="shared" si="50"/>
        <v>0</v>
      </c>
      <c r="G300" s="70">
        <f t="shared" si="50"/>
        <v>0</v>
      </c>
      <c r="H300" s="84">
        <f t="shared" si="50"/>
        <v>0</v>
      </c>
      <c r="I300" s="70">
        <f t="shared" si="50"/>
        <v>0</v>
      </c>
      <c r="J300" s="71">
        <f t="shared" si="50"/>
        <v>0</v>
      </c>
    </row>
    <row r="301" spans="1:10" s="2" customFormat="1" ht="14.25" customHeight="1" x14ac:dyDescent="0.25">
      <c r="A301" s="77"/>
      <c r="B301" s="879"/>
      <c r="C301" s="6"/>
      <c r="D301" s="83" t="s">
        <v>127</v>
      </c>
      <c r="E301" s="30"/>
      <c r="F301" s="37"/>
      <c r="G301" s="395"/>
      <c r="H301" s="17"/>
      <c r="I301" s="395"/>
      <c r="J301" s="17"/>
    </row>
    <row r="302" spans="1:10" s="2" customFormat="1" ht="14.25" customHeight="1" x14ac:dyDescent="0.25">
      <c r="A302" s="77"/>
      <c r="B302" s="879"/>
      <c r="C302" s="6"/>
      <c r="D302" s="83" t="s">
        <v>128</v>
      </c>
      <c r="E302" s="30"/>
      <c r="F302" s="37"/>
      <c r="G302" s="395"/>
      <c r="H302" s="17"/>
      <c r="I302" s="395"/>
      <c r="J302" s="17"/>
    </row>
    <row r="303" spans="1:10" s="2" customFormat="1" ht="14.25" customHeight="1" x14ac:dyDescent="0.25">
      <c r="A303" s="77"/>
      <c r="B303" s="879"/>
      <c r="C303" s="6"/>
      <c r="D303" s="83" t="s">
        <v>129</v>
      </c>
      <c r="E303" s="30"/>
      <c r="F303" s="37"/>
      <c r="G303" s="395"/>
      <c r="H303" s="17"/>
      <c r="I303" s="395"/>
      <c r="J303" s="17"/>
    </row>
    <row r="304" spans="1:10" s="2" customFormat="1" ht="14.25" customHeight="1" x14ac:dyDescent="0.25">
      <c r="A304" s="77"/>
      <c r="B304" s="879"/>
      <c r="C304" s="6"/>
      <c r="D304" s="83" t="s">
        <v>130</v>
      </c>
      <c r="E304" s="30"/>
      <c r="F304" s="37"/>
      <c r="G304" s="395"/>
      <c r="H304" s="17"/>
      <c r="I304" s="395"/>
      <c r="J304" s="17"/>
    </row>
    <row r="305" spans="1:10" s="2" customFormat="1" ht="14.25" customHeight="1" x14ac:dyDescent="0.25">
      <c r="A305" s="77"/>
      <c r="B305" s="879"/>
      <c r="C305" s="6"/>
      <c r="D305" s="83" t="s">
        <v>131</v>
      </c>
      <c r="E305" s="30"/>
      <c r="F305" s="37"/>
      <c r="G305" s="395"/>
      <c r="H305" s="17"/>
      <c r="I305" s="395"/>
      <c r="J305" s="17"/>
    </row>
    <row r="306" spans="1:10" s="2" customFormat="1" ht="14.25" customHeight="1" x14ac:dyDescent="0.25">
      <c r="A306" s="77"/>
      <c r="B306" s="879"/>
      <c r="C306" s="6"/>
      <c r="D306" s="83" t="s">
        <v>132</v>
      </c>
      <c r="E306" s="30"/>
      <c r="F306" s="37"/>
      <c r="G306" s="395"/>
      <c r="H306" s="17"/>
      <c r="I306" s="395"/>
      <c r="J306" s="17"/>
    </row>
    <row r="307" spans="1:10" s="2" customFormat="1" ht="14.25" customHeight="1" x14ac:dyDescent="0.25">
      <c r="A307" s="77"/>
      <c r="B307" s="879"/>
      <c r="C307" s="6"/>
      <c r="D307" s="83" t="s">
        <v>133</v>
      </c>
      <c r="E307" s="30"/>
      <c r="F307" s="37"/>
      <c r="G307" s="395"/>
      <c r="H307" s="17"/>
      <c r="I307" s="395"/>
      <c r="J307" s="17"/>
    </row>
    <row r="308" spans="1:10" s="2" customFormat="1" ht="14.25" customHeight="1" x14ac:dyDescent="0.25">
      <c r="A308" s="77"/>
      <c r="B308" s="879"/>
      <c r="C308" s="6"/>
      <c r="D308" s="83" t="s">
        <v>134</v>
      </c>
      <c r="E308" s="30"/>
      <c r="F308" s="37"/>
      <c r="G308" s="395"/>
      <c r="H308" s="17"/>
      <c r="I308" s="395"/>
      <c r="J308" s="17"/>
    </row>
    <row r="309" spans="1:10" s="2" customFormat="1" ht="24" customHeight="1" x14ac:dyDescent="0.25">
      <c r="A309" s="77"/>
      <c r="B309" s="879"/>
      <c r="C309" s="6"/>
      <c r="D309" s="70" t="s">
        <v>97</v>
      </c>
      <c r="E309" s="70">
        <f t="shared" ref="E309:J309" si="51">SUM(E310:E316)</f>
        <v>0</v>
      </c>
      <c r="F309" s="84">
        <f t="shared" si="51"/>
        <v>0</v>
      </c>
      <c r="G309" s="70">
        <f t="shared" si="51"/>
        <v>0</v>
      </c>
      <c r="H309" s="84">
        <f t="shared" si="51"/>
        <v>0</v>
      </c>
      <c r="I309" s="70">
        <f t="shared" si="51"/>
        <v>0</v>
      </c>
      <c r="J309" s="71">
        <f t="shared" si="51"/>
        <v>0</v>
      </c>
    </row>
    <row r="310" spans="1:10" s="2" customFormat="1" ht="14.25" customHeight="1" x14ac:dyDescent="0.25">
      <c r="A310" s="77"/>
      <c r="B310" s="879"/>
      <c r="C310" s="6"/>
      <c r="D310" s="83" t="s">
        <v>135</v>
      </c>
      <c r="E310" s="30"/>
      <c r="F310" s="37"/>
      <c r="G310" s="395"/>
      <c r="H310" s="17"/>
      <c r="I310" s="395"/>
      <c r="J310" s="17"/>
    </row>
    <row r="311" spans="1:10" s="2" customFormat="1" ht="14.25" customHeight="1" x14ac:dyDescent="0.25">
      <c r="A311" s="77"/>
      <c r="B311" s="879"/>
      <c r="C311" s="6"/>
      <c r="D311" s="83" t="s">
        <v>136</v>
      </c>
      <c r="E311" s="30"/>
      <c r="F311" s="37"/>
      <c r="G311" s="395"/>
      <c r="H311" s="17"/>
      <c r="I311" s="395"/>
      <c r="J311" s="17"/>
    </row>
    <row r="312" spans="1:10" s="2" customFormat="1" ht="14.25" customHeight="1" x14ac:dyDescent="0.25">
      <c r="A312" s="77"/>
      <c r="B312" s="879"/>
      <c r="C312" s="6"/>
      <c r="D312" s="83" t="s">
        <v>137</v>
      </c>
      <c r="E312" s="30"/>
      <c r="F312" s="37"/>
      <c r="G312" s="395"/>
      <c r="H312" s="17"/>
      <c r="I312" s="395"/>
      <c r="J312" s="17"/>
    </row>
    <row r="313" spans="1:10" s="2" customFormat="1" ht="14.25" customHeight="1" x14ac:dyDescent="0.25">
      <c r="A313" s="77"/>
      <c r="B313" s="879"/>
      <c r="C313" s="6"/>
      <c r="D313" s="83" t="s">
        <v>138</v>
      </c>
      <c r="E313" s="30"/>
      <c r="F313" s="37"/>
      <c r="G313" s="395"/>
      <c r="H313" s="17"/>
      <c r="I313" s="395"/>
      <c r="J313" s="17"/>
    </row>
    <row r="314" spans="1:10" s="2" customFormat="1" ht="14.25" customHeight="1" x14ac:dyDescent="0.25">
      <c r="A314" s="77"/>
      <c r="B314" s="879"/>
      <c r="C314" s="6"/>
      <c r="D314" s="83" t="s">
        <v>139</v>
      </c>
      <c r="E314" s="30"/>
      <c r="F314" s="37"/>
      <c r="G314" s="395"/>
      <c r="H314" s="17"/>
      <c r="I314" s="395"/>
      <c r="J314" s="17"/>
    </row>
    <row r="315" spans="1:10" s="2" customFormat="1" ht="14.25" customHeight="1" x14ac:dyDescent="0.25">
      <c r="A315" s="77"/>
      <c r="B315" s="879"/>
      <c r="C315" s="6"/>
      <c r="D315" s="83" t="s">
        <v>140</v>
      </c>
      <c r="E315" s="30"/>
      <c r="F315" s="37"/>
      <c r="G315" s="395"/>
      <c r="H315" s="17"/>
      <c r="I315" s="395"/>
      <c r="J315" s="17"/>
    </row>
    <row r="316" spans="1:10" s="2" customFormat="1" ht="14.25" customHeight="1" x14ac:dyDescent="0.25">
      <c r="A316" s="77"/>
      <c r="B316" s="879"/>
      <c r="C316" s="6"/>
      <c r="D316" s="83" t="s">
        <v>141</v>
      </c>
      <c r="E316" s="30"/>
      <c r="F316" s="37"/>
      <c r="G316" s="395"/>
      <c r="H316" s="17"/>
      <c r="I316" s="395"/>
      <c r="J316" s="17"/>
    </row>
    <row r="317" spans="1:10" s="2" customFormat="1" ht="24" customHeight="1" x14ac:dyDescent="0.25">
      <c r="A317" s="77"/>
      <c r="B317" s="879"/>
      <c r="C317" s="6"/>
      <c r="D317" s="70" t="s">
        <v>98</v>
      </c>
      <c r="E317" s="70">
        <f t="shared" ref="E317:J317" si="52">SUM(E318:E325)</f>
        <v>0</v>
      </c>
      <c r="F317" s="84">
        <f t="shared" si="52"/>
        <v>0</v>
      </c>
      <c r="G317" s="70">
        <f t="shared" si="52"/>
        <v>0</v>
      </c>
      <c r="H317" s="84">
        <f t="shared" si="52"/>
        <v>0</v>
      </c>
      <c r="I317" s="70">
        <f t="shared" si="52"/>
        <v>0</v>
      </c>
      <c r="J317" s="71">
        <f t="shared" si="52"/>
        <v>0</v>
      </c>
    </row>
    <row r="318" spans="1:10" s="2" customFormat="1" ht="14.25" customHeight="1" x14ac:dyDescent="0.25">
      <c r="A318" s="77"/>
      <c r="B318" s="879"/>
      <c r="C318" s="6"/>
      <c r="D318" s="83" t="s">
        <v>142</v>
      </c>
      <c r="E318" s="30"/>
      <c r="F318" s="37"/>
      <c r="G318" s="395"/>
      <c r="H318" s="17"/>
      <c r="I318" s="395"/>
      <c r="J318" s="17"/>
    </row>
    <row r="319" spans="1:10" s="2" customFormat="1" ht="14.25" customHeight="1" x14ac:dyDescent="0.25">
      <c r="A319" s="77"/>
      <c r="B319" s="879"/>
      <c r="C319" s="6"/>
      <c r="D319" s="83" t="s">
        <v>143</v>
      </c>
      <c r="E319" s="30"/>
      <c r="F319" s="37"/>
      <c r="G319" s="395"/>
      <c r="H319" s="17"/>
      <c r="I319" s="395"/>
      <c r="J319" s="17"/>
    </row>
    <row r="320" spans="1:10" s="2" customFormat="1" ht="14.25" customHeight="1" x14ac:dyDescent="0.25">
      <c r="A320" s="77"/>
      <c r="B320" s="879"/>
      <c r="C320" s="6"/>
      <c r="D320" s="83" t="s">
        <v>144</v>
      </c>
      <c r="E320" s="30"/>
      <c r="F320" s="37"/>
      <c r="G320" s="395"/>
      <c r="H320" s="17"/>
      <c r="I320" s="395"/>
      <c r="J320" s="17"/>
    </row>
    <row r="321" spans="1:10" s="2" customFormat="1" ht="14.25" customHeight="1" x14ac:dyDescent="0.25">
      <c r="A321" s="77"/>
      <c r="B321" s="879"/>
      <c r="C321" s="6"/>
      <c r="D321" s="83" t="s">
        <v>145</v>
      </c>
      <c r="E321" s="30"/>
      <c r="F321" s="37"/>
      <c r="G321" s="395"/>
      <c r="H321" s="17"/>
      <c r="I321" s="395"/>
      <c r="J321" s="17"/>
    </row>
    <row r="322" spans="1:10" s="2" customFormat="1" ht="14.25" customHeight="1" x14ac:dyDescent="0.25">
      <c r="A322" s="77"/>
      <c r="B322" s="879"/>
      <c r="C322" s="6"/>
      <c r="D322" s="83" t="s">
        <v>146</v>
      </c>
      <c r="E322" s="30"/>
      <c r="F322" s="37"/>
      <c r="G322" s="395"/>
      <c r="H322" s="17"/>
      <c r="I322" s="395"/>
      <c r="J322" s="17"/>
    </row>
    <row r="323" spans="1:10" s="2" customFormat="1" ht="14.25" customHeight="1" x14ac:dyDescent="0.25">
      <c r="A323" s="77"/>
      <c r="B323" s="879"/>
      <c r="C323" s="6"/>
      <c r="D323" s="83" t="s">
        <v>147</v>
      </c>
      <c r="E323" s="30"/>
      <c r="F323" s="37"/>
      <c r="G323" s="395"/>
      <c r="H323" s="17"/>
      <c r="I323" s="395"/>
      <c r="J323" s="17"/>
    </row>
    <row r="324" spans="1:10" s="2" customFormat="1" ht="14.25" customHeight="1" x14ac:dyDescent="0.25">
      <c r="A324" s="77"/>
      <c r="B324" s="879"/>
      <c r="C324" s="6"/>
      <c r="D324" s="83" t="s">
        <v>148</v>
      </c>
      <c r="E324" s="30"/>
      <c r="F324" s="37"/>
      <c r="G324" s="395"/>
      <c r="H324" s="17"/>
      <c r="I324" s="395"/>
      <c r="J324" s="17"/>
    </row>
    <row r="325" spans="1:10" s="2" customFormat="1" ht="14.25" customHeight="1" x14ac:dyDescent="0.25">
      <c r="A325" s="77"/>
      <c r="B325" s="879"/>
      <c r="C325" s="6"/>
      <c r="D325" s="83" t="s">
        <v>149</v>
      </c>
      <c r="E325" s="30"/>
      <c r="F325" s="37"/>
      <c r="G325" s="395"/>
      <c r="H325" s="17"/>
      <c r="I325" s="395"/>
      <c r="J325" s="17"/>
    </row>
    <row r="326" spans="1:10" s="8" customFormat="1" ht="5.25" customHeight="1" x14ac:dyDescent="0.25">
      <c r="A326" s="60"/>
      <c r="B326" s="60"/>
      <c r="C326" s="60"/>
      <c r="D326" s="60"/>
      <c r="E326" s="60"/>
      <c r="F326" s="96"/>
      <c r="G326" s="60"/>
      <c r="H326" s="96"/>
      <c r="I326" s="60"/>
      <c r="J326" s="60"/>
    </row>
    <row r="327" spans="1:10" s="9" customFormat="1" ht="24.75" customHeight="1" x14ac:dyDescent="0.25">
      <c r="A327" s="926" t="s">
        <v>67</v>
      </c>
      <c r="B327" s="831" t="s">
        <v>68</v>
      </c>
      <c r="C327" s="926" t="s">
        <v>65</v>
      </c>
      <c r="D327" s="155" t="s">
        <v>81</v>
      </c>
      <c r="E327" s="161">
        <f t="shared" ref="E327:J327" si="53">E328+E338+E347+E355</f>
        <v>13857</v>
      </c>
      <c r="F327" s="158">
        <f t="shared" si="53"/>
        <v>3720161.5600000005</v>
      </c>
      <c r="G327" s="161">
        <f t="shared" si="53"/>
        <v>0</v>
      </c>
      <c r="H327" s="158">
        <f t="shared" si="53"/>
        <v>0</v>
      </c>
      <c r="I327" s="161">
        <f t="shared" si="53"/>
        <v>0</v>
      </c>
      <c r="J327" s="158">
        <f t="shared" si="53"/>
        <v>0</v>
      </c>
    </row>
    <row r="328" spans="1:10" s="9" customFormat="1" ht="21.75" customHeight="1" x14ac:dyDescent="0.25">
      <c r="A328" s="927"/>
      <c r="B328" s="832"/>
      <c r="C328" s="927"/>
      <c r="D328" s="70" t="s">
        <v>79</v>
      </c>
      <c r="E328" s="64">
        <f t="shared" ref="E328:J328" si="54">SUM(E329:E337)</f>
        <v>3762</v>
      </c>
      <c r="F328" s="78">
        <f t="shared" si="54"/>
        <v>993101.82000000007</v>
      </c>
      <c r="G328" s="64">
        <f t="shared" si="54"/>
        <v>0</v>
      </c>
      <c r="H328" s="78">
        <f t="shared" si="54"/>
        <v>0</v>
      </c>
      <c r="I328" s="64">
        <f t="shared" si="54"/>
        <v>0</v>
      </c>
      <c r="J328" s="78">
        <f t="shared" si="54"/>
        <v>0</v>
      </c>
    </row>
    <row r="329" spans="1:10" s="16" customFormat="1" ht="15" customHeight="1" x14ac:dyDescent="0.25">
      <c r="A329" s="869"/>
      <c r="B329" s="832"/>
      <c r="C329" s="15"/>
      <c r="D329" s="83" t="s">
        <v>118</v>
      </c>
      <c r="E329" s="44">
        <f>1000</f>
        <v>1000</v>
      </c>
      <c r="F329" s="41">
        <f>250000</f>
        <v>250000</v>
      </c>
      <c r="G329" s="410"/>
      <c r="H329" s="53"/>
      <c r="I329" s="410"/>
      <c r="J329" s="53"/>
    </row>
    <row r="330" spans="1:10" s="1" customFormat="1" x14ac:dyDescent="0.25">
      <c r="A330" s="870"/>
      <c r="B330" s="832"/>
      <c r="C330" s="5"/>
      <c r="D330" s="83" t="s">
        <v>119</v>
      </c>
      <c r="E330" s="44">
        <f>150</f>
        <v>150</v>
      </c>
      <c r="F330" s="38">
        <f>37125.5</f>
        <v>37125.5</v>
      </c>
      <c r="G330" s="20"/>
      <c r="H330" s="17"/>
      <c r="I330" s="20"/>
      <c r="J330" s="17"/>
    </row>
    <row r="331" spans="1:10" s="1" customFormat="1" x14ac:dyDescent="0.25">
      <c r="A331" s="55"/>
      <c r="B331" s="832"/>
      <c r="C331" s="5"/>
      <c r="D331" s="83" t="s">
        <v>120</v>
      </c>
      <c r="E331" s="44"/>
      <c r="F331" s="39"/>
      <c r="G331" s="20"/>
      <c r="H331" s="17"/>
      <c r="I331" s="20"/>
      <c r="J331" s="17"/>
    </row>
    <row r="332" spans="1:10" s="1" customFormat="1" x14ac:dyDescent="0.25">
      <c r="A332" s="55"/>
      <c r="B332" s="832"/>
      <c r="C332" s="5"/>
      <c r="D332" s="83" t="s">
        <v>121</v>
      </c>
      <c r="E332" s="44">
        <f>500</f>
        <v>500</v>
      </c>
      <c r="F332" s="39">
        <f>125000</f>
        <v>125000</v>
      </c>
      <c r="G332" s="20"/>
      <c r="H332" s="17"/>
      <c r="I332" s="20"/>
      <c r="J332" s="17"/>
    </row>
    <row r="333" spans="1:10" s="1" customFormat="1" x14ac:dyDescent="0.25">
      <c r="A333" s="55"/>
      <c r="B333" s="85"/>
      <c r="C333" s="5"/>
      <c r="D333" s="83" t="s">
        <v>122</v>
      </c>
      <c r="E333" s="44">
        <f>100</f>
        <v>100</v>
      </c>
      <c r="F333" s="39">
        <f>24750</f>
        <v>24750</v>
      </c>
      <c r="G333" s="20"/>
      <c r="H333" s="17"/>
      <c r="I333" s="20"/>
      <c r="J333" s="17"/>
    </row>
    <row r="334" spans="1:10" s="1" customFormat="1" x14ac:dyDescent="0.25">
      <c r="A334" s="55"/>
      <c r="B334" s="85"/>
      <c r="C334" s="5"/>
      <c r="D334" s="83" t="s">
        <v>123</v>
      </c>
      <c r="E334" s="44">
        <f>500</f>
        <v>500</v>
      </c>
      <c r="F334" s="40">
        <f>161924.32</f>
        <v>161924.32</v>
      </c>
      <c r="G334" s="20"/>
      <c r="H334" s="17"/>
      <c r="I334" s="20"/>
      <c r="J334" s="17"/>
    </row>
    <row r="335" spans="1:10" s="1" customFormat="1" x14ac:dyDescent="0.25">
      <c r="A335" s="55"/>
      <c r="B335" s="85"/>
      <c r="C335" s="5"/>
      <c r="D335" s="83" t="s">
        <v>124</v>
      </c>
      <c r="E335" s="44">
        <f>212</f>
        <v>212</v>
      </c>
      <c r="F335" s="40">
        <f>69302</f>
        <v>69302</v>
      </c>
      <c r="G335" s="20"/>
      <c r="H335" s="17"/>
      <c r="I335" s="20"/>
      <c r="J335" s="17"/>
    </row>
    <row r="336" spans="1:10" s="1" customFormat="1" x14ac:dyDescent="0.25">
      <c r="A336" s="55"/>
      <c r="B336" s="85"/>
      <c r="C336" s="5"/>
      <c r="D336" s="83" t="s">
        <v>125</v>
      </c>
      <c r="E336" s="44">
        <f>500</f>
        <v>500</v>
      </c>
      <c r="F336" s="40">
        <f>125000</f>
        <v>125000</v>
      </c>
      <c r="G336" s="20"/>
      <c r="H336" s="17"/>
      <c r="I336" s="20"/>
      <c r="J336" s="17"/>
    </row>
    <row r="337" spans="1:10" s="1" customFormat="1" x14ac:dyDescent="0.25">
      <c r="A337" s="55"/>
      <c r="B337" s="85"/>
      <c r="C337" s="5"/>
      <c r="D337" s="83" t="s">
        <v>126</v>
      </c>
      <c r="E337" s="44">
        <f>800</f>
        <v>800</v>
      </c>
      <c r="F337" s="40">
        <f>200000</f>
        <v>200000</v>
      </c>
      <c r="G337" s="20"/>
      <c r="H337" s="17"/>
      <c r="I337" s="20"/>
      <c r="J337" s="17"/>
    </row>
    <row r="338" spans="1:10" s="2" customFormat="1" ht="19.5" customHeight="1" x14ac:dyDescent="0.25">
      <c r="A338" s="77"/>
      <c r="B338" s="74"/>
      <c r="C338" s="63"/>
      <c r="D338" s="70" t="s">
        <v>80</v>
      </c>
      <c r="E338" s="70">
        <f t="shared" ref="E338:J338" si="55">SUM(E339:E346)</f>
        <v>850</v>
      </c>
      <c r="F338" s="84">
        <f t="shared" si="55"/>
        <v>212500</v>
      </c>
      <c r="G338" s="70">
        <f t="shared" si="55"/>
        <v>0</v>
      </c>
      <c r="H338" s="84">
        <f t="shared" si="55"/>
        <v>0</v>
      </c>
      <c r="I338" s="70">
        <f t="shared" si="55"/>
        <v>0</v>
      </c>
      <c r="J338" s="71">
        <f t="shared" si="55"/>
        <v>0</v>
      </c>
    </row>
    <row r="339" spans="1:10" s="2" customFormat="1" ht="14.25" customHeight="1" x14ac:dyDescent="0.25">
      <c r="A339" s="77"/>
      <c r="B339" s="74"/>
      <c r="C339" s="4"/>
      <c r="D339" s="83" t="s">
        <v>127</v>
      </c>
      <c r="E339" s="30"/>
      <c r="F339" s="37"/>
      <c r="G339" s="395"/>
      <c r="H339" s="17"/>
      <c r="I339" s="395"/>
      <c r="J339" s="17"/>
    </row>
    <row r="340" spans="1:10" s="2" customFormat="1" ht="14.25" customHeight="1" x14ac:dyDescent="0.25">
      <c r="A340" s="77"/>
      <c r="B340" s="74"/>
      <c r="C340" s="4"/>
      <c r="D340" s="83" t="s">
        <v>128</v>
      </c>
      <c r="E340" s="30"/>
      <c r="F340" s="37"/>
      <c r="G340" s="395"/>
      <c r="H340" s="17"/>
      <c r="I340" s="395"/>
      <c r="J340" s="17"/>
    </row>
    <row r="341" spans="1:10" s="2" customFormat="1" ht="14.25" customHeight="1" x14ac:dyDescent="0.25">
      <c r="A341" s="77"/>
      <c r="B341" s="74"/>
      <c r="C341" s="4"/>
      <c r="D341" s="83" t="s">
        <v>129</v>
      </c>
      <c r="E341" s="30"/>
      <c r="F341" s="37"/>
      <c r="G341" s="395"/>
      <c r="H341" s="17"/>
      <c r="I341" s="395"/>
      <c r="J341" s="17"/>
    </row>
    <row r="342" spans="1:10" s="2" customFormat="1" ht="14.25" customHeight="1" x14ac:dyDescent="0.25">
      <c r="A342" s="77"/>
      <c r="B342" s="74"/>
      <c r="C342" s="4"/>
      <c r="D342" s="83" t="s">
        <v>130</v>
      </c>
      <c r="E342" s="30"/>
      <c r="F342" s="37"/>
      <c r="G342" s="395"/>
      <c r="H342" s="17"/>
      <c r="I342" s="395"/>
      <c r="J342" s="17"/>
    </row>
    <row r="343" spans="1:10" s="2" customFormat="1" ht="14.25" customHeight="1" x14ac:dyDescent="0.25">
      <c r="A343" s="77"/>
      <c r="B343" s="74"/>
      <c r="C343" s="4"/>
      <c r="D343" s="83" t="s">
        <v>131</v>
      </c>
      <c r="E343" s="30">
        <f>450</f>
        <v>450</v>
      </c>
      <c r="F343" s="37">
        <f>112500</f>
        <v>112500</v>
      </c>
      <c r="G343" s="395"/>
      <c r="H343" s="17"/>
      <c r="I343" s="395"/>
      <c r="J343" s="17"/>
    </row>
    <row r="344" spans="1:10" s="2" customFormat="1" ht="14.25" customHeight="1" x14ac:dyDescent="0.25">
      <c r="A344" s="77"/>
      <c r="B344" s="74"/>
      <c r="C344" s="4"/>
      <c r="D344" s="83" t="s">
        <v>132</v>
      </c>
      <c r="E344" s="30">
        <f>400</f>
        <v>400</v>
      </c>
      <c r="F344" s="37">
        <f>100000</f>
        <v>100000</v>
      </c>
      <c r="G344" s="395"/>
      <c r="H344" s="17"/>
      <c r="I344" s="395"/>
      <c r="J344" s="17"/>
    </row>
    <row r="345" spans="1:10" s="2" customFormat="1" ht="14.25" customHeight="1" x14ac:dyDescent="0.25">
      <c r="A345" s="77"/>
      <c r="B345" s="74"/>
      <c r="C345" s="4"/>
      <c r="D345" s="83" t="s">
        <v>133</v>
      </c>
      <c r="E345" s="30"/>
      <c r="F345" s="37"/>
      <c r="G345" s="395"/>
      <c r="H345" s="17"/>
      <c r="I345" s="395"/>
      <c r="J345" s="17"/>
    </row>
    <row r="346" spans="1:10" s="2" customFormat="1" ht="14.25" customHeight="1" x14ac:dyDescent="0.25">
      <c r="A346" s="77"/>
      <c r="B346" s="74"/>
      <c r="C346" s="4"/>
      <c r="D346" s="83" t="s">
        <v>134</v>
      </c>
      <c r="E346" s="30"/>
      <c r="F346" s="37"/>
      <c r="G346" s="395"/>
      <c r="H346" s="17"/>
      <c r="I346" s="395"/>
      <c r="J346" s="17"/>
    </row>
    <row r="347" spans="1:10" s="2" customFormat="1" ht="18.75" customHeight="1" x14ac:dyDescent="0.25">
      <c r="A347" s="77"/>
      <c r="B347" s="74"/>
      <c r="C347" s="63"/>
      <c r="D347" s="70" t="s">
        <v>97</v>
      </c>
      <c r="E347" s="70">
        <f t="shared" ref="E347:J347" si="56">SUM(E348:E354)</f>
        <v>4840</v>
      </c>
      <c r="F347" s="84">
        <f t="shared" si="56"/>
        <v>1374739.5</v>
      </c>
      <c r="G347" s="70">
        <f t="shared" si="56"/>
        <v>0</v>
      </c>
      <c r="H347" s="84">
        <f t="shared" si="56"/>
        <v>0</v>
      </c>
      <c r="I347" s="70">
        <f t="shared" si="56"/>
        <v>0</v>
      </c>
      <c r="J347" s="71">
        <f t="shared" si="56"/>
        <v>0</v>
      </c>
    </row>
    <row r="348" spans="1:10" s="2" customFormat="1" ht="14.25" customHeight="1" x14ac:dyDescent="0.25">
      <c r="A348" s="77"/>
      <c r="B348" s="74"/>
      <c r="C348" s="4"/>
      <c r="D348" s="83" t="s">
        <v>135</v>
      </c>
      <c r="E348" s="30"/>
      <c r="F348" s="37"/>
      <c r="G348" s="395"/>
      <c r="H348" s="17"/>
      <c r="I348" s="395"/>
      <c r="J348" s="17"/>
    </row>
    <row r="349" spans="1:10" s="2" customFormat="1" ht="14.25" customHeight="1" x14ac:dyDescent="0.25">
      <c r="A349" s="77"/>
      <c r="B349" s="74"/>
      <c r="C349" s="4"/>
      <c r="D349" s="83" t="s">
        <v>136</v>
      </c>
      <c r="E349" s="30">
        <f>605+2450</f>
        <v>3055</v>
      </c>
      <c r="F349" s="37">
        <f>151250+778452</f>
        <v>929702</v>
      </c>
      <c r="G349" s="395"/>
      <c r="H349" s="17"/>
      <c r="I349" s="395"/>
      <c r="J349" s="17"/>
    </row>
    <row r="350" spans="1:10" s="2" customFormat="1" ht="14.25" customHeight="1" x14ac:dyDescent="0.25">
      <c r="A350" s="77"/>
      <c r="B350" s="74"/>
      <c r="C350" s="4"/>
      <c r="D350" s="83" t="s">
        <v>137</v>
      </c>
      <c r="E350" s="30"/>
      <c r="F350" s="37"/>
      <c r="G350" s="395"/>
      <c r="H350" s="17"/>
      <c r="I350" s="395"/>
      <c r="J350" s="17"/>
    </row>
    <row r="351" spans="1:10" s="2" customFormat="1" ht="14.25" customHeight="1" x14ac:dyDescent="0.25">
      <c r="A351" s="77"/>
      <c r="B351" s="74"/>
      <c r="C351" s="4"/>
      <c r="D351" s="83" t="s">
        <v>138</v>
      </c>
      <c r="E351" s="30">
        <f>400</f>
        <v>400</v>
      </c>
      <c r="F351" s="37">
        <f>100000</f>
        <v>100000</v>
      </c>
      <c r="G351" s="395"/>
      <c r="H351" s="17"/>
      <c r="I351" s="395"/>
      <c r="J351" s="17"/>
    </row>
    <row r="352" spans="1:10" s="2" customFormat="1" ht="14.25" customHeight="1" x14ac:dyDescent="0.25">
      <c r="A352" s="77"/>
      <c r="B352" s="74"/>
      <c r="C352" s="4"/>
      <c r="D352" s="83" t="s">
        <v>139</v>
      </c>
      <c r="E352" s="30">
        <f>485+400</f>
        <v>885</v>
      </c>
      <c r="F352" s="37">
        <f>120037.5+100000</f>
        <v>220037.5</v>
      </c>
      <c r="G352" s="395"/>
      <c r="H352" s="17"/>
      <c r="I352" s="395"/>
      <c r="J352" s="17"/>
    </row>
    <row r="353" spans="1:10" s="2" customFormat="1" ht="14.25" customHeight="1" x14ac:dyDescent="0.25">
      <c r="A353" s="77"/>
      <c r="B353" s="74"/>
      <c r="C353" s="4"/>
      <c r="D353" s="83" t="s">
        <v>140</v>
      </c>
      <c r="E353" s="30">
        <f>500</f>
        <v>500</v>
      </c>
      <c r="F353" s="37">
        <f>125000</f>
        <v>125000</v>
      </c>
      <c r="G353" s="395"/>
      <c r="H353" s="17"/>
      <c r="I353" s="395"/>
      <c r="J353" s="17"/>
    </row>
    <row r="354" spans="1:10" s="2" customFormat="1" ht="14.25" customHeight="1" x14ac:dyDescent="0.25">
      <c r="A354" s="77"/>
      <c r="B354" s="74"/>
      <c r="C354" s="4"/>
      <c r="D354" s="83" t="s">
        <v>141</v>
      </c>
      <c r="E354" s="30"/>
      <c r="F354" s="37"/>
      <c r="G354" s="395"/>
      <c r="H354" s="17"/>
      <c r="I354" s="395"/>
      <c r="J354" s="17"/>
    </row>
    <row r="355" spans="1:10" s="2" customFormat="1" ht="24" customHeight="1" x14ac:dyDescent="0.25">
      <c r="A355" s="77"/>
      <c r="B355" s="74"/>
      <c r="C355" s="63"/>
      <c r="D355" s="70" t="s">
        <v>98</v>
      </c>
      <c r="E355" s="70">
        <f t="shared" ref="E355:J355" si="57">SUM(E356:E363)</f>
        <v>4405</v>
      </c>
      <c r="F355" s="84">
        <f t="shared" si="57"/>
        <v>1139820.24</v>
      </c>
      <c r="G355" s="70">
        <f t="shared" si="57"/>
        <v>0</v>
      </c>
      <c r="H355" s="84">
        <f t="shared" si="57"/>
        <v>0</v>
      </c>
      <c r="I355" s="70">
        <f t="shared" si="57"/>
        <v>0</v>
      </c>
      <c r="J355" s="71">
        <f t="shared" si="57"/>
        <v>0</v>
      </c>
    </row>
    <row r="356" spans="1:10" s="2" customFormat="1" ht="14.25" customHeight="1" x14ac:dyDescent="0.25">
      <c r="A356" s="77"/>
      <c r="B356" s="74"/>
      <c r="C356" s="4"/>
      <c r="D356" s="83" t="s">
        <v>142</v>
      </c>
      <c r="E356" s="30"/>
      <c r="F356" s="37"/>
      <c r="G356" s="395"/>
      <c r="H356" s="17"/>
      <c r="I356" s="395"/>
      <c r="J356" s="17"/>
    </row>
    <row r="357" spans="1:10" s="2" customFormat="1" ht="14.25" customHeight="1" x14ac:dyDescent="0.25">
      <c r="A357" s="77"/>
      <c r="B357" s="74"/>
      <c r="C357" s="4"/>
      <c r="D357" s="83" t="s">
        <v>143</v>
      </c>
      <c r="E357" s="30">
        <f>279+400</f>
        <v>679</v>
      </c>
      <c r="F357" s="37">
        <f>69052+100000</f>
        <v>169052</v>
      </c>
      <c r="G357" s="395"/>
      <c r="H357" s="17"/>
      <c r="I357" s="395"/>
      <c r="J357" s="17"/>
    </row>
    <row r="358" spans="1:10" s="2" customFormat="1" ht="14.25" customHeight="1" x14ac:dyDescent="0.25">
      <c r="A358" s="77"/>
      <c r="B358" s="74"/>
      <c r="C358" s="4"/>
      <c r="D358" s="83" t="s">
        <v>144</v>
      </c>
      <c r="E358" s="30">
        <f>263+500</f>
        <v>763</v>
      </c>
      <c r="F358" s="37">
        <f>65092.5+125000</f>
        <v>190092.5</v>
      </c>
      <c r="G358" s="395"/>
      <c r="H358" s="17"/>
      <c r="I358" s="395"/>
      <c r="J358" s="17"/>
    </row>
    <row r="359" spans="1:10" s="2" customFormat="1" ht="14.25" customHeight="1" x14ac:dyDescent="0.25">
      <c r="A359" s="77"/>
      <c r="B359" s="74"/>
      <c r="C359" s="4"/>
      <c r="D359" s="83" t="s">
        <v>145</v>
      </c>
      <c r="E359" s="30">
        <f>900</f>
        <v>900</v>
      </c>
      <c r="F359" s="37">
        <f>225000</f>
        <v>225000</v>
      </c>
      <c r="G359" s="395"/>
      <c r="H359" s="17"/>
      <c r="I359" s="395"/>
      <c r="J359" s="17"/>
    </row>
    <row r="360" spans="1:10" s="2" customFormat="1" ht="14.25" customHeight="1" x14ac:dyDescent="0.25">
      <c r="A360" s="77"/>
      <c r="B360" s="74"/>
      <c r="C360" s="4"/>
      <c r="D360" s="83" t="s">
        <v>146</v>
      </c>
      <c r="E360" s="30">
        <f>293+500</f>
        <v>793</v>
      </c>
      <c r="F360" s="37">
        <f>72517.5+125000</f>
        <v>197517.5</v>
      </c>
      <c r="G360" s="395"/>
      <c r="H360" s="17"/>
      <c r="I360" s="395"/>
      <c r="J360" s="17"/>
    </row>
    <row r="361" spans="1:10" s="2" customFormat="1" ht="14.25" customHeight="1" x14ac:dyDescent="0.25">
      <c r="A361" s="77"/>
      <c r="B361" s="74"/>
      <c r="C361" s="4"/>
      <c r="D361" s="83" t="s">
        <v>147</v>
      </c>
      <c r="E361" s="30">
        <f>670</f>
        <v>670</v>
      </c>
      <c r="F361" s="37">
        <f>208158.24</f>
        <v>208158.24</v>
      </c>
      <c r="G361" s="395"/>
      <c r="H361" s="17"/>
      <c r="I361" s="395"/>
      <c r="J361" s="17"/>
    </row>
    <row r="362" spans="1:10" s="2" customFormat="1" ht="14.25" customHeight="1" x14ac:dyDescent="0.25">
      <c r="A362" s="77"/>
      <c r="B362" s="74"/>
      <c r="C362" s="4"/>
      <c r="D362" s="83" t="s">
        <v>148</v>
      </c>
      <c r="E362" s="30"/>
      <c r="F362" s="37"/>
      <c r="G362" s="395"/>
      <c r="H362" s="17"/>
      <c r="I362" s="395"/>
      <c r="J362" s="17"/>
    </row>
    <row r="363" spans="1:10" s="2" customFormat="1" ht="14.25" customHeight="1" x14ac:dyDescent="0.25">
      <c r="A363" s="77"/>
      <c r="B363" s="74"/>
      <c r="C363" s="4"/>
      <c r="D363" s="83" t="s">
        <v>149</v>
      </c>
      <c r="E363" s="30">
        <f>600</f>
        <v>600</v>
      </c>
      <c r="F363" s="37">
        <f>150000</f>
        <v>150000</v>
      </c>
      <c r="G363" s="395"/>
      <c r="H363" s="17"/>
      <c r="I363" s="395"/>
      <c r="J363" s="17"/>
    </row>
    <row r="364" spans="1:10" s="8" customFormat="1" ht="5.25" customHeight="1" x14ac:dyDescent="0.25">
      <c r="A364" s="60"/>
      <c r="B364" s="60"/>
      <c r="C364" s="60"/>
      <c r="D364" s="60"/>
      <c r="E364" s="60"/>
      <c r="F364" s="96"/>
      <c r="G364" s="60"/>
      <c r="H364" s="96"/>
      <c r="I364" s="60"/>
      <c r="J364" s="60"/>
    </row>
    <row r="365" spans="1:10" ht="36" customHeight="1" x14ac:dyDescent="0.25">
      <c r="A365" s="398" t="s">
        <v>0</v>
      </c>
      <c r="B365" s="399" t="s">
        <v>51</v>
      </c>
      <c r="C365" s="275"/>
      <c r="D365" s="404" t="s">
        <v>3</v>
      </c>
      <c r="E365" s="398" t="s">
        <v>253</v>
      </c>
      <c r="F365" s="398" t="s">
        <v>254</v>
      </c>
      <c r="G365" s="398" t="s">
        <v>253</v>
      </c>
      <c r="H365" s="398" t="s">
        <v>254</v>
      </c>
      <c r="I365" s="398" t="s">
        <v>253</v>
      </c>
      <c r="J365" s="398" t="s">
        <v>254</v>
      </c>
    </row>
    <row r="366" spans="1:10" ht="21.75" customHeight="1" x14ac:dyDescent="0.25">
      <c r="A366" s="399"/>
      <c r="B366" s="447"/>
      <c r="C366" s="275"/>
      <c r="D366" s="184" t="s">
        <v>81</v>
      </c>
      <c r="E366" s="161">
        <f>E367+E377+E386</f>
        <v>0</v>
      </c>
      <c r="F366" s="158">
        <f>F367+F377+F386</f>
        <v>0</v>
      </c>
      <c r="G366" s="161">
        <f>G367+G377+G386+G394</f>
        <v>24</v>
      </c>
      <c r="H366" s="158">
        <f>H367+H377+H386+H394</f>
        <v>21404682.560000002</v>
      </c>
      <c r="I366" s="161">
        <f>I367+I377+I386</f>
        <v>0</v>
      </c>
      <c r="J366" s="158">
        <f>J367+J377+J386</f>
        <v>0</v>
      </c>
    </row>
    <row r="367" spans="1:10" ht="15" customHeight="1" x14ac:dyDescent="0.25">
      <c r="A367" s="856" t="s">
        <v>317</v>
      </c>
      <c r="B367" s="831" t="s">
        <v>251</v>
      </c>
      <c r="C367" s="275"/>
      <c r="D367" s="224" t="s">
        <v>79</v>
      </c>
      <c r="E367" s="275"/>
      <c r="F367" s="344"/>
      <c r="G367" s="224">
        <f>SUM(G373:G376)</f>
        <v>4</v>
      </c>
      <c r="H367" s="231">
        <f>SUM(H373:H376)</f>
        <v>2700000</v>
      </c>
      <c r="I367" s="275"/>
      <c r="J367" s="275"/>
    </row>
    <row r="368" spans="1:10" ht="15" customHeight="1" x14ac:dyDescent="0.25">
      <c r="A368" s="857"/>
      <c r="B368" s="832"/>
      <c r="C368" s="275"/>
      <c r="D368" s="83" t="s">
        <v>118</v>
      </c>
      <c r="E368" s="275"/>
      <c r="F368" s="344"/>
      <c r="G368" s="275"/>
      <c r="H368" s="344"/>
      <c r="I368" s="275"/>
      <c r="J368" s="275"/>
    </row>
    <row r="369" spans="1:10" ht="15" customHeight="1" x14ac:dyDescent="0.25">
      <c r="A369" s="857"/>
      <c r="B369" s="832"/>
      <c r="C369" s="275"/>
      <c r="D369" s="83" t="s">
        <v>119</v>
      </c>
      <c r="E369" s="275"/>
      <c r="F369" s="344"/>
      <c r="G369" s="275"/>
      <c r="H369" s="344"/>
      <c r="I369" s="275"/>
      <c r="J369" s="275"/>
    </row>
    <row r="370" spans="1:10" ht="15" customHeight="1" x14ac:dyDescent="0.25">
      <c r="A370" s="857"/>
      <c r="B370" s="832"/>
      <c r="C370" s="275"/>
      <c r="D370" s="83" t="s">
        <v>120</v>
      </c>
      <c r="E370" s="275"/>
      <c r="F370" s="344"/>
      <c r="G370" s="275"/>
      <c r="H370" s="344"/>
      <c r="I370" s="275"/>
      <c r="J370" s="275"/>
    </row>
    <row r="371" spans="1:10" ht="15" customHeight="1" x14ac:dyDescent="0.25">
      <c r="A371" s="857"/>
      <c r="B371" s="832"/>
      <c r="C371" s="275"/>
      <c r="D371" s="83" t="s">
        <v>121</v>
      </c>
      <c r="E371" s="275"/>
      <c r="F371" s="344"/>
      <c r="G371" s="275"/>
      <c r="H371" s="344"/>
      <c r="I371" s="275"/>
      <c r="J371" s="275"/>
    </row>
    <row r="372" spans="1:10" ht="15" customHeight="1" x14ac:dyDescent="0.25">
      <c r="A372" s="857"/>
      <c r="B372" s="832"/>
      <c r="C372" s="275"/>
      <c r="D372" s="83" t="s">
        <v>122</v>
      </c>
      <c r="E372" s="275"/>
      <c r="F372" s="344"/>
      <c r="G372" s="275"/>
      <c r="H372" s="344"/>
      <c r="I372" s="275"/>
      <c r="J372" s="275"/>
    </row>
    <row r="373" spans="1:10" x14ac:dyDescent="0.25">
      <c r="A373" s="857"/>
      <c r="B373" s="832"/>
      <c r="C373" s="275"/>
      <c r="D373" s="259" t="s">
        <v>262</v>
      </c>
      <c r="E373" s="275"/>
      <c r="F373" s="344"/>
      <c r="G373" s="260">
        <v>2</v>
      </c>
      <c r="H373" s="284">
        <v>1425000</v>
      </c>
      <c r="I373" s="275"/>
      <c r="J373" s="275"/>
    </row>
    <row r="374" spans="1:10" x14ac:dyDescent="0.25">
      <c r="A374" s="857"/>
      <c r="B374" s="832"/>
      <c r="C374" s="275"/>
      <c r="D374" s="83" t="s">
        <v>124</v>
      </c>
      <c r="E374" s="275"/>
      <c r="F374" s="344"/>
      <c r="G374" s="260"/>
      <c r="H374" s="284"/>
      <c r="I374" s="275"/>
      <c r="J374" s="275"/>
    </row>
    <row r="375" spans="1:10" x14ac:dyDescent="0.25">
      <c r="A375" s="857"/>
      <c r="B375" s="832"/>
      <c r="C375" s="275"/>
      <c r="D375" s="83" t="s">
        <v>125</v>
      </c>
      <c r="E375" s="275"/>
      <c r="F375" s="344"/>
      <c r="G375" s="260"/>
      <c r="H375" s="284"/>
      <c r="I375" s="275"/>
      <c r="J375" s="275"/>
    </row>
    <row r="376" spans="1:10" x14ac:dyDescent="0.25">
      <c r="A376" s="857"/>
      <c r="B376" s="832"/>
      <c r="C376" s="275"/>
      <c r="D376" s="196" t="s">
        <v>263</v>
      </c>
      <c r="E376" s="275"/>
      <c r="F376" s="344"/>
      <c r="G376" s="233">
        <v>2</v>
      </c>
      <c r="H376" s="234">
        <v>1275000</v>
      </c>
      <c r="I376" s="275"/>
      <c r="J376" s="275"/>
    </row>
    <row r="377" spans="1:10" x14ac:dyDescent="0.25">
      <c r="A377" s="857"/>
      <c r="B377" s="832"/>
      <c r="C377" s="275"/>
      <c r="D377" s="224" t="s">
        <v>80</v>
      </c>
      <c r="E377" s="275"/>
      <c r="F377" s="344"/>
      <c r="G377" s="224">
        <f>SUM(G378:G385)</f>
        <v>19</v>
      </c>
      <c r="H377" s="231">
        <f>SUM(H378:H385)</f>
        <v>15729682.560000001</v>
      </c>
      <c r="I377" s="275"/>
      <c r="J377" s="275"/>
    </row>
    <row r="378" spans="1:10" x14ac:dyDescent="0.25">
      <c r="A378" s="857"/>
      <c r="B378" s="832"/>
      <c r="C378" s="275"/>
      <c r="D378" s="83" t="s">
        <v>127</v>
      </c>
      <c r="E378" s="275"/>
      <c r="F378" s="344"/>
      <c r="G378" s="260">
        <v>12</v>
      </c>
      <c r="H378" s="284">
        <v>3017500</v>
      </c>
      <c r="I378" s="275"/>
      <c r="J378" s="275"/>
    </row>
    <row r="379" spans="1:10" x14ac:dyDescent="0.25">
      <c r="A379" s="857"/>
      <c r="B379" s="832"/>
      <c r="C379" s="275"/>
      <c r="D379" s="83" t="s">
        <v>128</v>
      </c>
      <c r="E379" s="275"/>
      <c r="F379" s="344"/>
      <c r="G379" s="260"/>
      <c r="H379" s="284"/>
      <c r="I379" s="275"/>
      <c r="J379" s="275"/>
    </row>
    <row r="380" spans="1:10" x14ac:dyDescent="0.25">
      <c r="A380" s="857"/>
      <c r="B380" s="832"/>
      <c r="C380" s="275"/>
      <c r="D380" s="83" t="s">
        <v>129</v>
      </c>
      <c r="E380" s="275"/>
      <c r="F380" s="344"/>
      <c r="G380" s="260">
        <v>1</v>
      </c>
      <c r="H380" s="284">
        <v>695652.16</v>
      </c>
      <c r="I380" s="275"/>
      <c r="J380" s="275"/>
    </row>
    <row r="381" spans="1:10" x14ac:dyDescent="0.25">
      <c r="A381" s="857"/>
      <c r="B381" s="832"/>
      <c r="C381" s="275"/>
      <c r="D381" s="83" t="s">
        <v>130</v>
      </c>
      <c r="E381" s="275"/>
      <c r="F381" s="344"/>
      <c r="G381" s="260">
        <v>3</v>
      </c>
      <c r="H381" s="284">
        <v>4946892</v>
      </c>
      <c r="I381" s="275"/>
      <c r="J381" s="275"/>
    </row>
    <row r="382" spans="1:10" x14ac:dyDescent="0.25">
      <c r="A382" s="857"/>
      <c r="B382" s="832"/>
      <c r="C382" s="275"/>
      <c r="D382" s="83" t="s">
        <v>131</v>
      </c>
      <c r="E382" s="275"/>
      <c r="F382" s="344"/>
      <c r="G382" s="260"/>
      <c r="H382" s="284"/>
      <c r="I382" s="275"/>
      <c r="J382" s="275"/>
    </row>
    <row r="383" spans="1:10" x14ac:dyDescent="0.25">
      <c r="A383" s="857"/>
      <c r="B383" s="832"/>
      <c r="C383" s="275"/>
      <c r="D383" s="83" t="s">
        <v>132</v>
      </c>
      <c r="E383" s="275"/>
      <c r="F383" s="344"/>
      <c r="G383" s="260"/>
      <c r="H383" s="284"/>
      <c r="I383" s="275"/>
      <c r="J383" s="275"/>
    </row>
    <row r="384" spans="1:10" ht="30" x14ac:dyDescent="0.25">
      <c r="A384" s="857"/>
      <c r="B384" s="832"/>
      <c r="C384" s="275"/>
      <c r="D384" s="83" t="s">
        <v>133</v>
      </c>
      <c r="E384" s="275"/>
      <c r="F384" s="344"/>
      <c r="G384" s="233">
        <v>3</v>
      </c>
      <c r="H384" s="234">
        <v>7069638.4000000004</v>
      </c>
      <c r="I384" s="275"/>
      <c r="J384" s="275"/>
    </row>
    <row r="385" spans="1:10" x14ac:dyDescent="0.25">
      <c r="A385" s="857"/>
      <c r="B385" s="832"/>
      <c r="C385" s="275"/>
      <c r="D385" s="83" t="s">
        <v>134</v>
      </c>
      <c r="E385" s="275"/>
      <c r="F385" s="344"/>
      <c r="G385" s="260"/>
      <c r="H385" s="284"/>
      <c r="I385" s="275"/>
      <c r="J385" s="275"/>
    </row>
    <row r="386" spans="1:10" x14ac:dyDescent="0.25">
      <c r="A386" s="857"/>
      <c r="B386" s="832"/>
      <c r="C386" s="275"/>
      <c r="D386" s="224" t="s">
        <v>97</v>
      </c>
      <c r="E386" s="275"/>
      <c r="F386" s="344"/>
      <c r="G386" s="224">
        <f>SUM(G391:G393)</f>
        <v>1</v>
      </c>
      <c r="H386" s="231">
        <f>SUM(H391:H393)</f>
        <v>2975000</v>
      </c>
      <c r="I386" s="275"/>
      <c r="J386" s="275"/>
    </row>
    <row r="387" spans="1:10" x14ac:dyDescent="0.25">
      <c r="A387" s="857"/>
      <c r="B387" s="832"/>
      <c r="C387" s="275"/>
      <c r="D387" s="83" t="s">
        <v>135</v>
      </c>
      <c r="E387" s="275"/>
      <c r="F387" s="344"/>
      <c r="G387" s="275"/>
      <c r="H387" s="344"/>
      <c r="I387" s="275"/>
      <c r="J387" s="275"/>
    </row>
    <row r="388" spans="1:10" x14ac:dyDescent="0.25">
      <c r="A388" s="857"/>
      <c r="B388" s="832"/>
      <c r="C388" s="275"/>
      <c r="D388" s="83" t="s">
        <v>136</v>
      </c>
      <c r="E388" s="275"/>
      <c r="F388" s="344"/>
      <c r="G388" s="275"/>
      <c r="H388" s="344"/>
      <c r="I388" s="275"/>
      <c r="J388" s="275"/>
    </row>
    <row r="389" spans="1:10" x14ac:dyDescent="0.25">
      <c r="A389" s="857"/>
      <c r="B389" s="832"/>
      <c r="C389" s="275"/>
      <c r="D389" s="83" t="s">
        <v>137</v>
      </c>
      <c r="E389" s="275"/>
      <c r="F389" s="344"/>
      <c r="G389" s="260">
        <v>5</v>
      </c>
      <c r="H389" s="284">
        <v>3357500</v>
      </c>
      <c r="I389" s="275"/>
      <c r="J389" s="275"/>
    </row>
    <row r="390" spans="1:10" x14ac:dyDescent="0.25">
      <c r="A390" s="857"/>
      <c r="B390" s="832"/>
      <c r="C390" s="275"/>
      <c r="D390" s="83" t="s">
        <v>138</v>
      </c>
      <c r="E390" s="275"/>
      <c r="F390" s="344"/>
      <c r="G390" s="260">
        <v>1</v>
      </c>
      <c r="H390" s="284">
        <v>2500000</v>
      </c>
      <c r="I390" s="275"/>
      <c r="J390" s="275"/>
    </row>
    <row r="391" spans="1:10" x14ac:dyDescent="0.25">
      <c r="A391" s="857"/>
      <c r="B391" s="832"/>
      <c r="C391" s="275"/>
      <c r="D391" s="83" t="s">
        <v>139</v>
      </c>
      <c r="E391" s="275"/>
      <c r="F391" s="344"/>
      <c r="G391" s="260">
        <v>1</v>
      </c>
      <c r="H391" s="284">
        <v>2975000</v>
      </c>
      <c r="I391" s="275"/>
      <c r="J391" s="275"/>
    </row>
    <row r="392" spans="1:10" x14ac:dyDescent="0.25">
      <c r="A392" s="857"/>
      <c r="B392" s="832"/>
      <c r="C392" s="275"/>
      <c r="D392" s="83" t="s">
        <v>140</v>
      </c>
      <c r="E392" s="275"/>
      <c r="F392" s="344"/>
      <c r="G392" s="275"/>
      <c r="H392" s="344"/>
      <c r="I392" s="275"/>
      <c r="J392" s="275"/>
    </row>
    <row r="393" spans="1:10" x14ac:dyDescent="0.25">
      <c r="A393" s="857"/>
      <c r="B393" s="832"/>
      <c r="C393" s="275"/>
      <c r="D393" s="83" t="s">
        <v>141</v>
      </c>
      <c r="E393" s="275"/>
      <c r="F393" s="344"/>
      <c r="G393" s="275"/>
      <c r="H393" s="344"/>
      <c r="I393" s="275"/>
      <c r="J393" s="275"/>
    </row>
    <row r="394" spans="1:10" s="2" customFormat="1" ht="24" customHeight="1" x14ac:dyDescent="0.25">
      <c r="A394" s="471"/>
      <c r="B394" s="472"/>
      <c r="C394" s="63"/>
      <c r="D394" s="70" t="s">
        <v>98</v>
      </c>
      <c r="E394" s="70">
        <f t="shared" ref="E394:J394" si="58">SUM(E395:E402)</f>
        <v>0</v>
      </c>
      <c r="F394" s="84">
        <f t="shared" si="58"/>
        <v>0</v>
      </c>
      <c r="G394" s="70">
        <f t="shared" si="58"/>
        <v>0</v>
      </c>
      <c r="H394" s="84">
        <f t="shared" si="58"/>
        <v>0</v>
      </c>
      <c r="I394" s="70">
        <f t="shared" si="58"/>
        <v>0</v>
      </c>
      <c r="J394" s="71">
        <f t="shared" si="58"/>
        <v>0</v>
      </c>
    </row>
    <row r="395" spans="1:10" s="2" customFormat="1" ht="14.25" customHeight="1" x14ac:dyDescent="0.25">
      <c r="A395" s="471"/>
      <c r="B395" s="472"/>
      <c r="C395" s="470"/>
      <c r="D395" s="83" t="s">
        <v>142</v>
      </c>
      <c r="E395" s="30"/>
      <c r="F395" s="37"/>
      <c r="G395" s="470"/>
      <c r="H395" s="17"/>
      <c r="I395" s="470"/>
      <c r="J395" s="17"/>
    </row>
    <row r="396" spans="1:10" s="2" customFormat="1" ht="14.25" customHeight="1" x14ac:dyDescent="0.25">
      <c r="A396" s="471"/>
      <c r="B396" s="472"/>
      <c r="C396" s="470"/>
      <c r="D396" s="83" t="s">
        <v>143</v>
      </c>
      <c r="E396" s="30"/>
      <c r="F396" s="37"/>
      <c r="G396" s="470"/>
      <c r="H396" s="17"/>
      <c r="I396" s="470"/>
      <c r="J396" s="17"/>
    </row>
    <row r="397" spans="1:10" s="2" customFormat="1" ht="14.25" customHeight="1" x14ac:dyDescent="0.25">
      <c r="A397" s="471"/>
      <c r="B397" s="472"/>
      <c r="C397" s="470"/>
      <c r="D397" s="83" t="s">
        <v>144</v>
      </c>
      <c r="E397" s="30"/>
      <c r="F397" s="37"/>
      <c r="G397" s="470"/>
      <c r="H397" s="17"/>
      <c r="I397" s="470"/>
      <c r="J397" s="17"/>
    </row>
    <row r="398" spans="1:10" s="2" customFormat="1" ht="14.25" customHeight="1" x14ac:dyDescent="0.25">
      <c r="A398" s="471"/>
      <c r="B398" s="472"/>
      <c r="C398" s="470"/>
      <c r="D398" s="83" t="s">
        <v>145</v>
      </c>
      <c r="E398" s="30"/>
      <c r="F398" s="37"/>
      <c r="G398" s="470"/>
      <c r="H398" s="17"/>
      <c r="I398" s="470"/>
      <c r="J398" s="17"/>
    </row>
    <row r="399" spans="1:10" s="2" customFormat="1" ht="14.25" customHeight="1" x14ac:dyDescent="0.3">
      <c r="A399" s="471"/>
      <c r="B399" s="472"/>
      <c r="C399" s="470"/>
      <c r="D399" s="83" t="s">
        <v>146</v>
      </c>
      <c r="E399" s="30"/>
      <c r="F399" s="37"/>
      <c r="G399" s="470"/>
      <c r="H399" s="17"/>
      <c r="I399" s="470"/>
      <c r="J399" s="17"/>
    </row>
    <row r="400" spans="1:10" s="2" customFormat="1" ht="14.25" customHeight="1" x14ac:dyDescent="0.3">
      <c r="A400" s="471"/>
      <c r="B400" s="472"/>
      <c r="C400" s="470"/>
      <c r="D400" s="83" t="s">
        <v>147</v>
      </c>
      <c r="E400" s="30"/>
      <c r="F400" s="37"/>
      <c r="G400" s="470"/>
      <c r="H400" s="17"/>
      <c r="I400" s="470"/>
      <c r="J400" s="17"/>
    </row>
    <row r="401" spans="1:10" s="2" customFormat="1" ht="14.25" customHeight="1" x14ac:dyDescent="0.3">
      <c r="A401" s="471"/>
      <c r="B401" s="472"/>
      <c r="C401" s="470"/>
      <c r="D401" s="83" t="s">
        <v>148</v>
      </c>
      <c r="E401" s="30"/>
      <c r="F401" s="37"/>
      <c r="G401" s="470"/>
      <c r="H401" s="17"/>
      <c r="I401" s="470"/>
      <c r="J401" s="17"/>
    </row>
    <row r="402" spans="1:10" s="2" customFormat="1" ht="14.25" customHeight="1" x14ac:dyDescent="0.25">
      <c r="A402" s="471"/>
      <c r="B402" s="472"/>
      <c r="C402" s="470"/>
      <c r="D402" s="83" t="s">
        <v>149</v>
      </c>
      <c r="E402" s="30"/>
      <c r="F402" s="37"/>
      <c r="G402" s="470"/>
      <c r="H402" s="17"/>
      <c r="I402" s="470"/>
      <c r="J402" s="17"/>
    </row>
    <row r="403" spans="1:10" x14ac:dyDescent="0.25">
      <c r="A403" s="175"/>
      <c r="B403" s="50"/>
      <c r="C403" s="283"/>
      <c r="D403" s="116"/>
      <c r="E403" s="283"/>
      <c r="F403" s="475"/>
      <c r="G403" s="283"/>
      <c r="H403" s="475"/>
      <c r="I403" s="283"/>
      <c r="J403" s="283"/>
    </row>
    <row r="404" spans="1:10" x14ac:dyDescent="0.25">
      <c r="A404" s="175"/>
      <c r="B404" s="50"/>
      <c r="C404" s="283"/>
      <c r="D404" s="116"/>
      <c r="E404" s="283"/>
      <c r="F404" s="475"/>
      <c r="G404" s="283"/>
      <c r="H404" s="475"/>
      <c r="I404" s="283"/>
      <c r="J404" s="283"/>
    </row>
    <row r="405" spans="1:10" x14ac:dyDescent="0.25">
      <c r="A405" s="175"/>
      <c r="B405" s="50"/>
      <c r="C405" s="283"/>
      <c r="D405" s="116"/>
      <c r="E405" s="283"/>
      <c r="F405" s="475"/>
      <c r="G405" s="283"/>
      <c r="H405" s="475"/>
      <c r="I405" s="283"/>
      <c r="J405" s="283"/>
    </row>
    <row r="406" spans="1:10" x14ac:dyDescent="0.25">
      <c r="A406" s="175"/>
      <c r="B406" s="50"/>
      <c r="C406" s="283"/>
      <c r="D406" s="116"/>
      <c r="E406" s="283"/>
      <c r="F406" s="475"/>
      <c r="G406" s="283"/>
      <c r="H406" s="475"/>
      <c r="I406" s="283"/>
      <c r="J406" s="283"/>
    </row>
    <row r="407" spans="1:10" x14ac:dyDescent="0.25">
      <c r="A407" s="175"/>
      <c r="B407" s="50"/>
      <c r="C407" s="283"/>
      <c r="D407" s="116"/>
      <c r="E407" s="283"/>
      <c r="F407" s="475"/>
      <c r="G407" s="283"/>
      <c r="H407" s="475"/>
      <c r="I407" s="283"/>
      <c r="J407" s="283"/>
    </row>
    <row r="408" spans="1:10" x14ac:dyDescent="0.25">
      <c r="A408" s="175"/>
      <c r="B408" s="50"/>
      <c r="C408" s="283"/>
      <c r="D408" s="116"/>
      <c r="E408" s="283"/>
      <c r="F408" s="475"/>
      <c r="G408" s="283"/>
      <c r="H408" s="475"/>
      <c r="I408" s="283"/>
      <c r="J408" s="283"/>
    </row>
    <row r="409" spans="1:10" x14ac:dyDescent="0.25">
      <c r="A409" s="175"/>
      <c r="B409" s="50"/>
      <c r="C409" s="283"/>
      <c r="D409" s="116"/>
      <c r="E409" s="283"/>
      <c r="F409" s="475"/>
      <c r="G409" s="283"/>
      <c r="H409" s="475"/>
      <c r="I409" s="283"/>
      <c r="J409" s="283"/>
    </row>
    <row r="410" spans="1:10" x14ac:dyDescent="0.25">
      <c r="A410" s="175"/>
      <c r="B410" s="50"/>
      <c r="C410" s="283"/>
      <c r="D410" s="116"/>
      <c r="E410" s="283"/>
      <c r="F410" s="475"/>
      <c r="G410" s="283"/>
      <c r="H410" s="475"/>
      <c r="I410" s="283"/>
      <c r="J410" s="283"/>
    </row>
    <row r="411" spans="1:10" x14ac:dyDescent="0.25">
      <c r="A411" s="175"/>
      <c r="B411" s="50"/>
      <c r="C411" s="283"/>
      <c r="D411" s="116"/>
      <c r="E411" s="283"/>
      <c r="F411" s="475"/>
      <c r="G411" s="283"/>
      <c r="H411" s="475"/>
      <c r="I411" s="283"/>
      <c r="J411" s="283"/>
    </row>
    <row r="412" spans="1:10" x14ac:dyDescent="0.25">
      <c r="A412" s="175"/>
      <c r="B412" s="50"/>
      <c r="C412" s="283"/>
      <c r="D412" s="116"/>
      <c r="E412" s="283"/>
      <c r="F412" s="475"/>
      <c r="G412" s="283"/>
      <c r="H412" s="475"/>
      <c r="I412" s="283"/>
      <c r="J412" s="283"/>
    </row>
    <row r="413" spans="1:10" x14ac:dyDescent="0.25">
      <c r="A413" s="175"/>
      <c r="B413" s="50"/>
      <c r="C413" s="283"/>
      <c r="D413" s="116"/>
      <c r="E413" s="283"/>
      <c r="F413" s="475"/>
      <c r="G413" s="283"/>
      <c r="H413" s="475"/>
      <c r="I413" s="283"/>
      <c r="J413" s="283"/>
    </row>
    <row r="414" spans="1:10" x14ac:dyDescent="0.25">
      <c r="A414" s="175"/>
      <c r="B414" s="50"/>
      <c r="C414" s="283"/>
      <c r="D414" s="116"/>
      <c r="E414" s="283"/>
      <c r="F414" s="475"/>
      <c r="G414" s="283"/>
      <c r="H414" s="475"/>
      <c r="I414" s="283"/>
      <c r="J414" s="283"/>
    </row>
    <row r="415" spans="1:10" x14ac:dyDescent="0.25">
      <c r="A415" s="175"/>
      <c r="B415" s="50"/>
      <c r="C415" s="283"/>
      <c r="D415" s="116"/>
      <c r="E415" s="283"/>
      <c r="F415" s="475"/>
      <c r="G415" s="283"/>
      <c r="H415" s="475"/>
      <c r="I415" s="283"/>
      <c r="J415" s="283"/>
    </row>
    <row r="416" spans="1:10" x14ac:dyDescent="0.25">
      <c r="A416" s="52"/>
      <c r="B416" s="405"/>
      <c r="C416" s="115"/>
      <c r="D416" s="251"/>
      <c r="E416" s="252"/>
    </row>
    <row r="417" spans="1:4" x14ac:dyDescent="0.25">
      <c r="A417" t="s">
        <v>26</v>
      </c>
      <c r="B417" t="s">
        <v>28</v>
      </c>
      <c r="D417" t="s">
        <v>31</v>
      </c>
    </row>
    <row r="421" spans="1:4" x14ac:dyDescent="0.25">
      <c r="A421" t="s">
        <v>27</v>
      </c>
      <c r="B421" t="s">
        <v>29</v>
      </c>
      <c r="D421" t="s">
        <v>32</v>
      </c>
    </row>
    <row r="422" spans="1:4" x14ac:dyDescent="0.25">
      <c r="A422" t="s">
        <v>223</v>
      </c>
      <c r="B422" t="s">
        <v>30</v>
      </c>
      <c r="D422" t="s">
        <v>33</v>
      </c>
    </row>
  </sheetData>
  <mergeCells count="42">
    <mergeCell ref="A1:J1"/>
    <mergeCell ref="A2:J2"/>
    <mergeCell ref="A367:A393"/>
    <mergeCell ref="B367:B393"/>
    <mergeCell ref="I7:J7"/>
    <mergeCell ref="C53:C54"/>
    <mergeCell ref="A252:A253"/>
    <mergeCell ref="B249:B287"/>
    <mergeCell ref="B211:B213"/>
    <mergeCell ref="C211:C212"/>
    <mergeCell ref="A211:A212"/>
    <mergeCell ref="C249:C250"/>
    <mergeCell ref="A329:A330"/>
    <mergeCell ref="B327:B332"/>
    <mergeCell ref="C7:C8"/>
    <mergeCell ref="D7:D8"/>
    <mergeCell ref="G7:H7"/>
    <mergeCell ref="E7:F7"/>
    <mergeCell ref="C327:C328"/>
    <mergeCell ref="A327:A328"/>
    <mergeCell ref="A13:A14"/>
    <mergeCell ref="A53:A54"/>
    <mergeCell ref="A213:A214"/>
    <mergeCell ref="B289:B325"/>
    <mergeCell ref="A291:A292"/>
    <mergeCell ref="A55:A56"/>
    <mergeCell ref="A4:J4"/>
    <mergeCell ref="A95:A96"/>
    <mergeCell ref="A133:A134"/>
    <mergeCell ref="A173:A174"/>
    <mergeCell ref="A7:A8"/>
    <mergeCell ref="B7:B8"/>
    <mergeCell ref="A11:A12"/>
    <mergeCell ref="C11:C12"/>
    <mergeCell ref="A131:A132"/>
    <mergeCell ref="A171:A172"/>
    <mergeCell ref="B11:B20"/>
    <mergeCell ref="B53:B61"/>
    <mergeCell ref="B93:B99"/>
    <mergeCell ref="B131:B138"/>
    <mergeCell ref="B171:B177"/>
    <mergeCell ref="C171:C173"/>
  </mergeCells>
  <printOptions horizontalCentered="1"/>
  <pageMargins left="0.52" right="0.56999999999999995" top="0.68" bottom="0.69" header="0.3" footer="0.4"/>
  <pageSetup paperSize="9" scale="80" orientation="landscape" verticalDpi="300" r:id="rId1"/>
  <headerFooter>
    <oddFooter>&amp;LProvince of Nueva Ecija&amp;CPage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election activeCell="G16" sqref="G16"/>
    </sheetView>
  </sheetViews>
  <sheetFormatPr defaultRowHeight="15" x14ac:dyDescent="0.25"/>
  <cols>
    <col min="1" max="1" width="30.85546875" customWidth="1"/>
    <col min="2" max="2" width="42" customWidth="1"/>
    <col min="3" max="3" width="15.140625" customWidth="1"/>
    <col min="4" max="4" width="22.28515625" customWidth="1"/>
    <col min="5" max="5" width="12.140625" customWidth="1"/>
    <col min="6" max="6" width="18.5703125" customWidth="1"/>
  </cols>
  <sheetData>
    <row r="1" spans="1:6" x14ac:dyDescent="0.25">
      <c r="A1" s="858" t="s">
        <v>39</v>
      </c>
      <c r="B1" s="858"/>
      <c r="C1" s="858"/>
      <c r="D1" s="858"/>
      <c r="E1" s="858"/>
      <c r="F1" s="858"/>
    </row>
    <row r="2" spans="1:6" x14ac:dyDescent="0.25">
      <c r="A2" s="858" t="s">
        <v>40</v>
      </c>
      <c r="B2" s="858"/>
      <c r="C2" s="858"/>
      <c r="D2" s="858"/>
      <c r="E2" s="858"/>
      <c r="F2" s="858"/>
    </row>
    <row r="3" spans="1:6" x14ac:dyDescent="0.25">
      <c r="A3" s="265"/>
      <c r="B3" s="265"/>
      <c r="C3" s="265"/>
      <c r="D3" s="265"/>
      <c r="E3" s="265"/>
      <c r="F3" s="265"/>
    </row>
    <row r="4" spans="1:6" s="47" customFormat="1" ht="15.75" x14ac:dyDescent="0.25">
      <c r="A4" s="844" t="s">
        <v>293</v>
      </c>
      <c r="B4" s="844"/>
      <c r="C4" s="844"/>
      <c r="D4" s="844"/>
      <c r="E4" s="844"/>
      <c r="F4" s="844"/>
    </row>
    <row r="5" spans="1:6" s="3" customFormat="1" ht="15" customHeight="1" x14ac:dyDescent="0.25">
      <c r="A5" s="859" t="s">
        <v>0</v>
      </c>
      <c r="B5" s="860" t="s">
        <v>51</v>
      </c>
      <c r="C5" s="859" t="s">
        <v>244</v>
      </c>
      <c r="D5" s="862" t="s">
        <v>3</v>
      </c>
      <c r="E5" s="860" t="s">
        <v>253</v>
      </c>
      <c r="F5" s="859" t="s">
        <v>254</v>
      </c>
    </row>
    <row r="6" spans="1:6" s="3" customFormat="1" ht="21" customHeight="1" x14ac:dyDescent="0.25">
      <c r="A6" s="859"/>
      <c r="B6" s="861"/>
      <c r="C6" s="859"/>
      <c r="D6" s="863"/>
      <c r="E6" s="861"/>
      <c r="F6" s="859"/>
    </row>
    <row r="7" spans="1:6" s="3" customFormat="1" ht="21" customHeight="1" x14ac:dyDescent="0.25">
      <c r="A7" s="856" t="s">
        <v>252</v>
      </c>
      <c r="B7" s="831" t="s">
        <v>251</v>
      </c>
      <c r="C7" s="292" t="s">
        <v>301</v>
      </c>
      <c r="D7" s="294"/>
      <c r="E7" s="293">
        <f>E8+E15+E21+E32+E46+E62+E74</f>
        <v>160</v>
      </c>
      <c r="F7" s="295">
        <f>F8+F15+F21+F32+F46+F62+F74</f>
        <v>134403744.36000001</v>
      </c>
    </row>
    <row r="8" spans="1:6" s="3" customFormat="1" ht="21" customHeight="1" x14ac:dyDescent="0.25">
      <c r="A8" s="857"/>
      <c r="B8" s="832"/>
      <c r="C8" s="266" t="s">
        <v>294</v>
      </c>
      <c r="D8" s="270"/>
      <c r="E8" s="269">
        <f>SUM(E9)</f>
        <v>16</v>
      </c>
      <c r="F8" s="276">
        <f>SUM(F9)</f>
        <v>10122500</v>
      </c>
    </row>
    <row r="9" spans="1:6" s="3" customFormat="1" ht="27.75" customHeight="1" x14ac:dyDescent="0.25">
      <c r="A9" s="857"/>
      <c r="B9" s="832"/>
      <c r="C9" s="852"/>
      <c r="D9" s="224" t="s">
        <v>82</v>
      </c>
      <c r="E9" s="224">
        <f>SUM(E10:E13)</f>
        <v>16</v>
      </c>
      <c r="F9" s="232">
        <f>SUM(F10:F13)</f>
        <v>10122500</v>
      </c>
    </row>
    <row r="10" spans="1:6" s="3" customFormat="1" ht="21.75" customHeight="1" x14ac:dyDescent="0.25">
      <c r="A10" s="857"/>
      <c r="B10" s="832"/>
      <c r="C10" s="852"/>
      <c r="D10" s="4" t="s">
        <v>83</v>
      </c>
      <c r="E10" s="30">
        <v>4</v>
      </c>
      <c r="F10" s="31">
        <v>1275000</v>
      </c>
    </row>
    <row r="11" spans="1:6" s="2" customFormat="1" ht="14.25" customHeight="1" x14ac:dyDescent="0.25">
      <c r="A11" s="857"/>
      <c r="B11" s="832"/>
      <c r="C11" s="852"/>
      <c r="D11" s="4" t="s">
        <v>84</v>
      </c>
      <c r="E11" s="30">
        <v>5</v>
      </c>
      <c r="F11" s="31">
        <v>2210000</v>
      </c>
    </row>
    <row r="12" spans="1:6" s="2" customFormat="1" ht="14.25" customHeight="1" x14ac:dyDescent="0.25">
      <c r="A12" s="857"/>
      <c r="B12" s="832"/>
      <c r="C12" s="852"/>
      <c r="D12" s="4" t="s">
        <v>85</v>
      </c>
      <c r="E12" s="30">
        <v>3</v>
      </c>
      <c r="F12" s="31">
        <v>1312500</v>
      </c>
    </row>
    <row r="13" spans="1:6" s="2" customFormat="1" ht="14.25" customHeight="1" x14ac:dyDescent="0.25">
      <c r="A13" s="857"/>
      <c r="B13" s="832"/>
      <c r="C13" s="852"/>
      <c r="D13" s="4" t="s">
        <v>87</v>
      </c>
      <c r="E13" s="30">
        <v>4</v>
      </c>
      <c r="F13" s="31">
        <v>5325000</v>
      </c>
    </row>
    <row r="14" spans="1:6" s="2" customFormat="1" ht="5.25" customHeight="1" x14ac:dyDescent="0.25">
      <c r="A14" s="267"/>
      <c r="B14" s="271"/>
      <c r="C14" s="277"/>
      <c r="D14" s="278"/>
      <c r="E14" s="279"/>
      <c r="F14" s="280"/>
    </row>
    <row r="15" spans="1:6" s="3" customFormat="1" ht="21" customHeight="1" x14ac:dyDescent="0.25">
      <c r="A15" s="272"/>
      <c r="B15" s="288"/>
      <c r="C15" s="266" t="s">
        <v>295</v>
      </c>
      <c r="D15" s="270"/>
      <c r="E15" s="269">
        <f>SUM(E16)</f>
        <v>16</v>
      </c>
      <c r="F15" s="276">
        <f>SUM(F16)</f>
        <v>7516500</v>
      </c>
    </row>
    <row r="16" spans="1:6" x14ac:dyDescent="0.25">
      <c r="A16" s="296"/>
      <c r="B16" s="289"/>
      <c r="C16" s="853"/>
      <c r="D16" s="224" t="s">
        <v>79</v>
      </c>
      <c r="E16" s="224">
        <f>SUM(E17:E19)</f>
        <v>16</v>
      </c>
      <c r="F16" s="84">
        <f>SUM(F17:F19)</f>
        <v>7516500</v>
      </c>
    </row>
    <row r="17" spans="1:6" x14ac:dyDescent="0.25">
      <c r="A17" s="296"/>
      <c r="B17" s="289"/>
      <c r="C17" s="854"/>
      <c r="D17" s="4" t="s">
        <v>44</v>
      </c>
      <c r="E17" s="30">
        <v>1</v>
      </c>
      <c r="F17" s="37">
        <v>2000000</v>
      </c>
    </row>
    <row r="18" spans="1:6" x14ac:dyDescent="0.25">
      <c r="A18" s="296"/>
      <c r="B18" s="289"/>
      <c r="C18" s="854"/>
      <c r="D18" s="4" t="s">
        <v>45</v>
      </c>
      <c r="E18" s="30">
        <v>8</v>
      </c>
      <c r="F18" s="37">
        <v>1530000</v>
      </c>
    </row>
    <row r="19" spans="1:6" x14ac:dyDescent="0.25">
      <c r="A19" s="296"/>
      <c r="B19" s="289"/>
      <c r="C19" s="855"/>
      <c r="D19" s="196" t="s">
        <v>46</v>
      </c>
      <c r="E19" s="233">
        <v>7</v>
      </c>
      <c r="F19" s="234">
        <v>3986500</v>
      </c>
    </row>
    <row r="20" spans="1:6" s="2" customFormat="1" ht="5.25" customHeight="1" x14ac:dyDescent="0.25">
      <c r="A20" s="272"/>
      <c r="B20" s="290"/>
      <c r="C20" s="277"/>
      <c r="D20" s="278"/>
      <c r="E20" s="279"/>
      <c r="F20" s="280"/>
    </row>
    <row r="21" spans="1:6" s="3" customFormat="1" ht="21" customHeight="1" x14ac:dyDescent="0.25">
      <c r="A21" s="272"/>
      <c r="B21" s="288"/>
      <c r="C21" s="266" t="s">
        <v>296</v>
      </c>
      <c r="D21" s="270"/>
      <c r="E21" s="269">
        <f>E22+E24+E26+E28</f>
        <v>18</v>
      </c>
      <c r="F21" s="281">
        <f>F22+F24+F26+F28</f>
        <v>14711599.300000001</v>
      </c>
    </row>
    <row r="22" spans="1:6" x14ac:dyDescent="0.25">
      <c r="A22" s="296"/>
      <c r="B22" s="289"/>
      <c r="C22" s="275"/>
      <c r="D22" s="224" t="s">
        <v>79</v>
      </c>
      <c r="E22" s="224">
        <f>SUM(E23:E23)</f>
        <v>6</v>
      </c>
      <c r="F22" s="84">
        <f>SUM(F23:F23)</f>
        <v>4159099.3</v>
      </c>
    </row>
    <row r="23" spans="1:6" x14ac:dyDescent="0.25">
      <c r="A23" s="296"/>
      <c r="B23" s="289"/>
      <c r="C23" s="275"/>
      <c r="D23" s="196" t="s">
        <v>94</v>
      </c>
      <c r="E23" s="233">
        <v>6</v>
      </c>
      <c r="F23" s="234">
        <v>4159099.3</v>
      </c>
    </row>
    <row r="24" spans="1:6" x14ac:dyDescent="0.25">
      <c r="A24" s="296"/>
      <c r="B24" s="289"/>
      <c r="C24" s="275"/>
      <c r="D24" s="224" t="s">
        <v>80</v>
      </c>
      <c r="E24" s="224">
        <f>SUM(E25:E25)</f>
        <v>1</v>
      </c>
      <c r="F24" s="84">
        <f>SUM(F25:F25)</f>
        <v>3000000</v>
      </c>
    </row>
    <row r="25" spans="1:6" x14ac:dyDescent="0.25">
      <c r="A25" s="296"/>
      <c r="B25" s="289"/>
      <c r="C25" s="275"/>
      <c r="D25" s="196" t="s">
        <v>102</v>
      </c>
      <c r="E25" s="233">
        <v>1</v>
      </c>
      <c r="F25" s="234">
        <v>3000000</v>
      </c>
    </row>
    <row r="26" spans="1:6" x14ac:dyDescent="0.25">
      <c r="A26" s="296"/>
      <c r="B26" s="289"/>
      <c r="C26" s="275"/>
      <c r="D26" s="224" t="s">
        <v>97</v>
      </c>
      <c r="E26" s="224">
        <f>SUM(E27:E27)</f>
        <v>6</v>
      </c>
      <c r="F26" s="84">
        <f>SUM(F27:F27)</f>
        <v>3102500</v>
      </c>
    </row>
    <row r="27" spans="1:6" x14ac:dyDescent="0.25">
      <c r="A27" s="296"/>
      <c r="B27" s="289"/>
      <c r="C27" s="275"/>
      <c r="D27" s="196" t="s">
        <v>109</v>
      </c>
      <c r="E27" s="233">
        <v>6</v>
      </c>
      <c r="F27" s="234">
        <v>3102500</v>
      </c>
    </row>
    <row r="28" spans="1:6" x14ac:dyDescent="0.25">
      <c r="A28" s="296"/>
      <c r="B28" s="289"/>
      <c r="C28" s="275"/>
      <c r="D28" s="224" t="s">
        <v>98</v>
      </c>
      <c r="E28" s="224">
        <f>SUM(E29:E30)</f>
        <v>5</v>
      </c>
      <c r="F28" s="84">
        <f>SUM(F29:F30)</f>
        <v>4450000</v>
      </c>
    </row>
    <row r="29" spans="1:6" x14ac:dyDescent="0.25">
      <c r="A29" s="296"/>
      <c r="B29" s="289"/>
      <c r="C29" s="275"/>
      <c r="D29" s="259" t="s">
        <v>113</v>
      </c>
      <c r="E29" s="260">
        <v>2</v>
      </c>
      <c r="F29" s="284">
        <v>800000</v>
      </c>
    </row>
    <row r="30" spans="1:6" x14ac:dyDescent="0.25">
      <c r="A30" s="296"/>
      <c r="B30" s="289"/>
      <c r="C30" s="275"/>
      <c r="D30" s="196" t="s">
        <v>114</v>
      </c>
      <c r="E30" s="233">
        <v>3</v>
      </c>
      <c r="F30" s="234">
        <v>3650000</v>
      </c>
    </row>
    <row r="31" spans="1:6" s="2" customFormat="1" ht="5.25" customHeight="1" x14ac:dyDescent="0.25">
      <c r="A31" s="272"/>
      <c r="B31" s="290"/>
      <c r="C31" s="285"/>
      <c r="D31" s="286"/>
      <c r="E31" s="287"/>
      <c r="F31" s="280"/>
    </row>
    <row r="32" spans="1:6" s="3" customFormat="1" ht="21" customHeight="1" x14ac:dyDescent="0.25">
      <c r="A32" s="272"/>
      <c r="B32" s="288"/>
      <c r="C32" s="266" t="s">
        <v>297</v>
      </c>
      <c r="D32" s="270"/>
      <c r="E32" s="269">
        <f>E33+E36+E41</f>
        <v>30</v>
      </c>
      <c r="F32" s="281">
        <f>F33+F36+F41</f>
        <v>27262182.560000002</v>
      </c>
    </row>
    <row r="33" spans="1:6" x14ac:dyDescent="0.25">
      <c r="A33" s="296"/>
      <c r="B33" s="289"/>
      <c r="C33" s="275"/>
      <c r="D33" s="224" t="s">
        <v>79</v>
      </c>
      <c r="E33" s="224">
        <f>SUM(E34:E35)</f>
        <v>4</v>
      </c>
      <c r="F33" s="84">
        <f>SUM(F34:F35)</f>
        <v>2700000</v>
      </c>
    </row>
    <row r="34" spans="1:6" x14ac:dyDescent="0.25">
      <c r="A34" s="296"/>
      <c r="B34" s="289"/>
      <c r="C34" s="275"/>
      <c r="D34" s="259" t="s">
        <v>262</v>
      </c>
      <c r="E34" s="260">
        <v>2</v>
      </c>
      <c r="F34" s="284">
        <v>1425000</v>
      </c>
    </row>
    <row r="35" spans="1:6" x14ac:dyDescent="0.25">
      <c r="A35" s="296"/>
      <c r="B35" s="289"/>
      <c r="C35" s="275"/>
      <c r="D35" s="196" t="s">
        <v>263</v>
      </c>
      <c r="E35" s="233">
        <v>2</v>
      </c>
      <c r="F35" s="234">
        <v>1275000</v>
      </c>
    </row>
    <row r="36" spans="1:6" x14ac:dyDescent="0.25">
      <c r="A36" s="296"/>
      <c r="B36" s="289"/>
      <c r="C36" s="282"/>
      <c r="D36" s="70" t="s">
        <v>80</v>
      </c>
      <c r="E36" s="70">
        <f>SUM(E37:E40)</f>
        <v>19</v>
      </c>
      <c r="F36" s="84">
        <f>SUM(F37:F40)</f>
        <v>15729682.560000001</v>
      </c>
    </row>
    <row r="37" spans="1:6" x14ac:dyDescent="0.25">
      <c r="A37" s="296"/>
      <c r="B37" s="289"/>
      <c r="C37" s="275"/>
      <c r="D37" s="259" t="s">
        <v>127</v>
      </c>
      <c r="E37" s="260">
        <v>12</v>
      </c>
      <c r="F37" s="261">
        <v>3017500</v>
      </c>
    </row>
    <row r="38" spans="1:6" x14ac:dyDescent="0.25">
      <c r="A38" s="296"/>
      <c r="B38" s="289"/>
      <c r="C38" s="275"/>
      <c r="D38" s="259" t="s">
        <v>265</v>
      </c>
      <c r="E38" s="260">
        <v>1</v>
      </c>
      <c r="F38" s="261">
        <v>695652.16</v>
      </c>
    </row>
    <row r="39" spans="1:6" x14ac:dyDescent="0.25">
      <c r="A39" s="296"/>
      <c r="B39" s="289"/>
      <c r="C39" s="275"/>
      <c r="D39" s="259" t="s">
        <v>266</v>
      </c>
      <c r="E39" s="260">
        <v>3</v>
      </c>
      <c r="F39" s="261">
        <v>4946892</v>
      </c>
    </row>
    <row r="40" spans="1:6" ht="18.75" customHeight="1" x14ac:dyDescent="0.25">
      <c r="A40" s="296"/>
      <c r="B40" s="289"/>
      <c r="C40" s="275"/>
      <c r="D40" s="196" t="s">
        <v>133</v>
      </c>
      <c r="E40" s="233">
        <v>3</v>
      </c>
      <c r="F40" s="234">
        <v>7069638.4000000004</v>
      </c>
    </row>
    <row r="41" spans="1:6" x14ac:dyDescent="0.25">
      <c r="A41" s="296"/>
      <c r="B41" s="289"/>
      <c r="C41" s="275"/>
      <c r="D41" s="224" t="s">
        <v>97</v>
      </c>
      <c r="E41" s="224">
        <f>SUM(E42:E44)</f>
        <v>7</v>
      </c>
      <c r="F41" s="84">
        <f>SUM(F42:F44)</f>
        <v>8832500</v>
      </c>
    </row>
    <row r="42" spans="1:6" x14ac:dyDescent="0.25">
      <c r="A42" s="296"/>
      <c r="B42" s="289"/>
      <c r="C42" s="275"/>
      <c r="D42" s="259" t="s">
        <v>268</v>
      </c>
      <c r="E42" s="260">
        <v>1</v>
      </c>
      <c r="F42" s="261">
        <v>2975000</v>
      </c>
    </row>
    <row r="43" spans="1:6" x14ac:dyDescent="0.25">
      <c r="A43" s="296"/>
      <c r="B43" s="289"/>
      <c r="C43" s="275"/>
      <c r="D43" s="259" t="s">
        <v>269</v>
      </c>
      <c r="E43" s="260">
        <v>5</v>
      </c>
      <c r="F43" s="261">
        <v>3357500</v>
      </c>
    </row>
    <row r="44" spans="1:6" x14ac:dyDescent="0.25">
      <c r="A44" s="296"/>
      <c r="B44" s="289"/>
      <c r="C44" s="275"/>
      <c r="D44" s="259" t="s">
        <v>270</v>
      </c>
      <c r="E44" s="260">
        <v>1</v>
      </c>
      <c r="F44" s="261">
        <v>2500000</v>
      </c>
    </row>
    <row r="45" spans="1:6" s="2" customFormat="1" ht="5.25" customHeight="1" x14ac:dyDescent="0.25">
      <c r="A45" s="272"/>
      <c r="B45" s="290"/>
      <c r="C45" s="277"/>
      <c r="D45" s="278"/>
      <c r="E45" s="279"/>
      <c r="F45" s="280"/>
    </row>
    <row r="46" spans="1:6" s="3" customFormat="1" ht="21" customHeight="1" x14ac:dyDescent="0.25">
      <c r="A46" s="272"/>
      <c r="B46" s="288"/>
      <c r="C46" s="266" t="s">
        <v>298</v>
      </c>
      <c r="D46" s="270"/>
      <c r="E46" s="269">
        <f>E47+E51+E54</f>
        <v>50</v>
      </c>
      <c r="F46" s="281">
        <f>F47+F51+F54</f>
        <v>47869975</v>
      </c>
    </row>
    <row r="47" spans="1:6" x14ac:dyDescent="0.25">
      <c r="A47" s="296"/>
      <c r="B47" s="289"/>
      <c r="C47" s="275"/>
      <c r="D47" s="224" t="s">
        <v>272</v>
      </c>
      <c r="E47" s="224">
        <f>SUM(E48:E50)</f>
        <v>13</v>
      </c>
      <c r="F47" s="84">
        <f>SUM(F48:F50)</f>
        <v>11470675</v>
      </c>
    </row>
    <row r="48" spans="1:6" x14ac:dyDescent="0.25">
      <c r="A48" s="296"/>
      <c r="B48" s="289"/>
      <c r="C48" s="275"/>
      <c r="D48" s="259" t="s">
        <v>154</v>
      </c>
      <c r="E48" s="260">
        <v>5</v>
      </c>
      <c r="F48" s="261">
        <v>2252500</v>
      </c>
    </row>
    <row r="49" spans="1:6" x14ac:dyDescent="0.25">
      <c r="A49" s="296"/>
      <c r="B49" s="289"/>
      <c r="C49" s="275"/>
      <c r="D49" s="259" t="s">
        <v>155</v>
      </c>
      <c r="E49" s="260">
        <v>3</v>
      </c>
      <c r="F49" s="261">
        <v>4256800</v>
      </c>
    </row>
    <row r="50" spans="1:6" x14ac:dyDescent="0.25">
      <c r="A50" s="296"/>
      <c r="B50" s="289"/>
      <c r="C50" s="275"/>
      <c r="D50" s="259" t="s">
        <v>273</v>
      </c>
      <c r="E50" s="260">
        <v>5</v>
      </c>
      <c r="F50" s="261">
        <v>4961375</v>
      </c>
    </row>
    <row r="51" spans="1:6" x14ac:dyDescent="0.25">
      <c r="A51" s="296"/>
      <c r="B51" s="289"/>
      <c r="C51" s="275"/>
      <c r="D51" s="224" t="s">
        <v>97</v>
      </c>
      <c r="E51" s="224">
        <f>SUM(E52:E53)</f>
        <v>7</v>
      </c>
      <c r="F51" s="84">
        <f>SUM(F52:F53)</f>
        <v>5744550</v>
      </c>
    </row>
    <row r="52" spans="1:6" x14ac:dyDescent="0.25">
      <c r="A52" s="296"/>
      <c r="B52" s="289"/>
      <c r="C52" s="275"/>
      <c r="D52" s="259" t="s">
        <v>162</v>
      </c>
      <c r="E52" s="260">
        <v>4</v>
      </c>
      <c r="F52" s="261">
        <v>3370000</v>
      </c>
    </row>
    <row r="53" spans="1:6" ht="15.75" customHeight="1" x14ac:dyDescent="0.25">
      <c r="A53" s="296"/>
      <c r="B53" s="289"/>
      <c r="C53" s="275"/>
      <c r="D53" s="196" t="s">
        <v>161</v>
      </c>
      <c r="E53" s="233">
        <v>3</v>
      </c>
      <c r="F53" s="347">
        <v>2374550</v>
      </c>
    </row>
    <row r="54" spans="1:6" x14ac:dyDescent="0.25">
      <c r="A54" s="296"/>
      <c r="B54" s="289"/>
      <c r="C54" s="275"/>
      <c r="D54" s="224" t="s">
        <v>98</v>
      </c>
      <c r="E54" s="224">
        <f>SUM(E55:E60)</f>
        <v>30</v>
      </c>
      <c r="F54" s="84">
        <f>SUM(F55:F60)</f>
        <v>30654750</v>
      </c>
    </row>
    <row r="55" spans="1:6" x14ac:dyDescent="0.25">
      <c r="A55" s="296"/>
      <c r="B55" s="289"/>
      <c r="C55" s="275"/>
      <c r="D55" s="259" t="s">
        <v>164</v>
      </c>
      <c r="E55" s="260">
        <v>3</v>
      </c>
      <c r="F55" s="261">
        <v>5300000</v>
      </c>
    </row>
    <row r="56" spans="1:6" x14ac:dyDescent="0.25">
      <c r="A56" s="296"/>
      <c r="B56" s="289"/>
      <c r="C56" s="275"/>
      <c r="D56" s="259" t="s">
        <v>165</v>
      </c>
      <c r="E56" s="260">
        <v>4</v>
      </c>
      <c r="F56" s="261">
        <v>5214750</v>
      </c>
    </row>
    <row r="57" spans="1:6" x14ac:dyDescent="0.25">
      <c r="A57" s="296"/>
      <c r="B57" s="289"/>
      <c r="C57" s="275"/>
      <c r="D57" s="259" t="s">
        <v>166</v>
      </c>
      <c r="E57" s="260">
        <v>7</v>
      </c>
      <c r="F57" s="261">
        <v>3825000</v>
      </c>
    </row>
    <row r="58" spans="1:6" x14ac:dyDescent="0.25">
      <c r="A58" s="296"/>
      <c r="B58" s="289"/>
      <c r="C58" s="275"/>
      <c r="D58" s="259" t="s">
        <v>167</v>
      </c>
      <c r="E58" s="260">
        <v>6</v>
      </c>
      <c r="F58" s="261">
        <v>6980000</v>
      </c>
    </row>
    <row r="59" spans="1:6" x14ac:dyDescent="0.25">
      <c r="A59" s="296"/>
      <c r="B59" s="289"/>
      <c r="C59" s="275"/>
      <c r="D59" s="259" t="s">
        <v>90</v>
      </c>
      <c r="E59" s="260">
        <v>4</v>
      </c>
      <c r="F59" s="261">
        <v>3485000</v>
      </c>
    </row>
    <row r="60" spans="1:6" x14ac:dyDescent="0.25">
      <c r="A60" s="296"/>
      <c r="B60" s="289"/>
      <c r="C60" s="275"/>
      <c r="D60" s="259" t="s">
        <v>276</v>
      </c>
      <c r="E60" s="260">
        <v>6</v>
      </c>
      <c r="F60" s="261">
        <v>5850000</v>
      </c>
    </row>
    <row r="61" spans="1:6" s="2" customFormat="1" ht="5.25" customHeight="1" x14ac:dyDescent="0.25">
      <c r="A61" s="272"/>
      <c r="B61" s="290"/>
      <c r="C61" s="277"/>
      <c r="D61" s="278"/>
      <c r="E61" s="279"/>
      <c r="F61" s="280"/>
    </row>
    <row r="62" spans="1:6" s="3" customFormat="1" ht="21" customHeight="1" x14ac:dyDescent="0.25">
      <c r="A62" s="272"/>
      <c r="B62" s="288"/>
      <c r="C62" s="266" t="s">
        <v>299</v>
      </c>
      <c r="D62" s="270"/>
      <c r="E62" s="269">
        <f>E63+E66+E70</f>
        <v>20</v>
      </c>
      <c r="F62" s="281">
        <f>F63+F66+F70</f>
        <v>19780000</v>
      </c>
    </row>
    <row r="63" spans="1:6" x14ac:dyDescent="0.25">
      <c r="A63" s="296"/>
      <c r="B63" s="289"/>
      <c r="C63" s="275"/>
      <c r="D63" s="224" t="s">
        <v>278</v>
      </c>
      <c r="E63" s="224">
        <f>SUM(E64:E65)</f>
        <v>9</v>
      </c>
      <c r="F63" s="84">
        <f>SUM(F64:F65)</f>
        <v>6402000</v>
      </c>
    </row>
    <row r="64" spans="1:6" x14ac:dyDescent="0.25">
      <c r="A64" s="296"/>
      <c r="B64" s="289"/>
      <c r="C64" s="275"/>
      <c r="D64" s="259" t="s">
        <v>174</v>
      </c>
      <c r="E64" s="260">
        <v>3</v>
      </c>
      <c r="F64" s="346">
        <v>3417000</v>
      </c>
    </row>
    <row r="65" spans="1:6" x14ac:dyDescent="0.25">
      <c r="A65" s="296"/>
      <c r="B65" s="289"/>
      <c r="C65" s="275"/>
      <c r="D65" s="262" t="s">
        <v>279</v>
      </c>
      <c r="E65" s="263">
        <v>6</v>
      </c>
      <c r="F65" s="348">
        <v>2985000</v>
      </c>
    </row>
    <row r="66" spans="1:6" x14ac:dyDescent="0.25">
      <c r="A66" s="296"/>
      <c r="B66" s="289"/>
      <c r="C66" s="275"/>
      <c r="D66" s="224" t="s">
        <v>80</v>
      </c>
      <c r="E66" s="224">
        <f>SUM(E67:E69)</f>
        <v>8</v>
      </c>
      <c r="F66" s="84">
        <f>SUM(F67:F69)</f>
        <v>10295000</v>
      </c>
    </row>
    <row r="67" spans="1:6" x14ac:dyDescent="0.25">
      <c r="A67" s="296"/>
      <c r="B67" s="289"/>
      <c r="C67" s="275"/>
      <c r="D67" s="259" t="s">
        <v>280</v>
      </c>
      <c r="E67" s="260">
        <v>1</v>
      </c>
      <c r="F67" s="346">
        <v>2550000</v>
      </c>
    </row>
    <row r="68" spans="1:6" x14ac:dyDescent="0.25">
      <c r="A68" s="296"/>
      <c r="B68" s="289"/>
      <c r="C68" s="275"/>
      <c r="D68" s="262" t="s">
        <v>281</v>
      </c>
      <c r="E68" s="263">
        <v>4</v>
      </c>
      <c r="F68" s="348">
        <v>3995000</v>
      </c>
    </row>
    <row r="69" spans="1:6" x14ac:dyDescent="0.25">
      <c r="A69" s="296"/>
      <c r="B69" s="289"/>
      <c r="C69" s="275"/>
      <c r="D69" s="262" t="s">
        <v>185</v>
      </c>
      <c r="E69" s="263">
        <v>3</v>
      </c>
      <c r="F69" s="348">
        <v>3750000</v>
      </c>
    </row>
    <row r="70" spans="1:6" x14ac:dyDescent="0.25">
      <c r="A70" s="296"/>
      <c r="B70" s="289"/>
      <c r="C70" s="275"/>
      <c r="D70" s="224" t="s">
        <v>97</v>
      </c>
      <c r="E70" s="224">
        <f>SUM(E71:E72)</f>
        <v>3</v>
      </c>
      <c r="F70" s="84">
        <f>SUM(F71:F72)</f>
        <v>3083000</v>
      </c>
    </row>
    <row r="71" spans="1:6" x14ac:dyDescent="0.25">
      <c r="A71" s="296"/>
      <c r="B71" s="289"/>
      <c r="C71" s="275"/>
      <c r="D71" s="259" t="s">
        <v>188</v>
      </c>
      <c r="E71" s="260">
        <v>1</v>
      </c>
      <c r="F71" s="346">
        <v>2000000</v>
      </c>
    </row>
    <row r="72" spans="1:6" x14ac:dyDescent="0.25">
      <c r="A72" s="296"/>
      <c r="B72" s="289"/>
      <c r="C72" s="275"/>
      <c r="D72" s="259" t="s">
        <v>284</v>
      </c>
      <c r="E72" s="260">
        <v>2</v>
      </c>
      <c r="F72" s="346">
        <v>1083000</v>
      </c>
    </row>
    <row r="73" spans="1:6" s="2" customFormat="1" ht="5.25" customHeight="1" x14ac:dyDescent="0.25">
      <c r="A73" s="272"/>
      <c r="B73" s="290"/>
      <c r="C73" s="277"/>
      <c r="D73" s="278"/>
      <c r="E73" s="279"/>
      <c r="F73" s="280"/>
    </row>
    <row r="74" spans="1:6" s="3" customFormat="1" ht="21" customHeight="1" x14ac:dyDescent="0.25">
      <c r="A74" s="272"/>
      <c r="B74" s="288"/>
      <c r="C74" s="266" t="s">
        <v>300</v>
      </c>
      <c r="D74" s="270"/>
      <c r="E74" s="269">
        <f>E75+E78</f>
        <v>10</v>
      </c>
      <c r="F74" s="281">
        <f>F75+F78</f>
        <v>7140987.5</v>
      </c>
    </row>
    <row r="75" spans="1:6" x14ac:dyDescent="0.25">
      <c r="A75" s="296"/>
      <c r="B75" s="289"/>
      <c r="C75" s="275"/>
      <c r="D75" s="224" t="s">
        <v>286</v>
      </c>
      <c r="E75" s="224">
        <f>SUM(E76:E77)</f>
        <v>8</v>
      </c>
      <c r="F75" s="231">
        <f>SUM(F76:F77)</f>
        <v>3303487.5</v>
      </c>
    </row>
    <row r="76" spans="1:6" x14ac:dyDescent="0.25">
      <c r="A76" s="296"/>
      <c r="B76" s="289"/>
      <c r="C76" s="275"/>
      <c r="D76" s="259" t="s">
        <v>191</v>
      </c>
      <c r="E76" s="260">
        <v>4</v>
      </c>
      <c r="F76" s="261">
        <v>1330000</v>
      </c>
    </row>
    <row r="77" spans="1:6" x14ac:dyDescent="0.25">
      <c r="A77" s="296"/>
      <c r="B77" s="289"/>
      <c r="C77" s="275"/>
      <c r="D77" s="259" t="s">
        <v>193</v>
      </c>
      <c r="E77" s="260">
        <v>4</v>
      </c>
      <c r="F77" s="261">
        <v>1973487.5</v>
      </c>
    </row>
    <row r="78" spans="1:6" x14ac:dyDescent="0.25">
      <c r="A78" s="296"/>
      <c r="B78" s="289"/>
      <c r="C78" s="275"/>
      <c r="D78" s="224" t="s">
        <v>272</v>
      </c>
      <c r="E78" s="224">
        <f>SUM(E79:E80)</f>
        <v>2</v>
      </c>
      <c r="F78" s="84">
        <f>SUM(F79:F80)</f>
        <v>3837500</v>
      </c>
    </row>
    <row r="79" spans="1:6" x14ac:dyDescent="0.25">
      <c r="A79" s="296"/>
      <c r="B79" s="289"/>
      <c r="C79" s="275"/>
      <c r="D79" s="259" t="s">
        <v>13</v>
      </c>
      <c r="E79" s="260">
        <v>1</v>
      </c>
      <c r="F79" s="261">
        <v>2337500</v>
      </c>
    </row>
    <row r="80" spans="1:6" x14ac:dyDescent="0.25">
      <c r="A80" s="297"/>
      <c r="B80" s="291"/>
      <c r="C80" s="275"/>
      <c r="D80" s="259" t="s">
        <v>200</v>
      </c>
      <c r="E80" s="260">
        <v>1</v>
      </c>
      <c r="F80" s="261">
        <v>1500000</v>
      </c>
    </row>
    <row r="81" spans="1:5" x14ac:dyDescent="0.25">
      <c r="A81" t="s">
        <v>26</v>
      </c>
      <c r="B81" t="s">
        <v>28</v>
      </c>
      <c r="E81" t="s">
        <v>31</v>
      </c>
    </row>
    <row r="83" spans="1:5" x14ac:dyDescent="0.25">
      <c r="A83" t="s">
        <v>27</v>
      </c>
      <c r="B83" t="s">
        <v>29</v>
      </c>
      <c r="E83" t="s">
        <v>32</v>
      </c>
    </row>
    <row r="84" spans="1:5" x14ac:dyDescent="0.25">
      <c r="A84" t="s">
        <v>223</v>
      </c>
      <c r="B84" t="s">
        <v>30</v>
      </c>
      <c r="E84" t="s">
        <v>33</v>
      </c>
    </row>
  </sheetData>
  <mergeCells count="13">
    <mergeCell ref="C9:C13"/>
    <mergeCell ref="C16:C19"/>
    <mergeCell ref="A7:A13"/>
    <mergeCell ref="B7:B13"/>
    <mergeCell ref="A1:F1"/>
    <mergeCell ref="A2:F2"/>
    <mergeCell ref="A4:F4"/>
    <mergeCell ref="A5:A6"/>
    <mergeCell ref="B5:B6"/>
    <mergeCell ref="C5:C6"/>
    <mergeCell ref="D5:D6"/>
    <mergeCell ref="E5:E6"/>
    <mergeCell ref="F5:F6"/>
  </mergeCells>
  <printOptions horizontalCentered="1"/>
  <pageMargins left="0.52" right="1.24" top="0.42" bottom="0.69" header="0.3" footer="0.4"/>
  <pageSetup paperSize="9" scale="80" orientation="landscape" verticalDpi="300" r:id="rId1"/>
  <headerFooter>
    <oddFooter>&amp;L2014_BUB Projects
&amp;CPage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R185"/>
  <sheetViews>
    <sheetView view="pageBreakPreview" topLeftCell="A9" zoomScale="70" zoomScaleNormal="80" zoomScaleSheetLayoutView="70" workbookViewId="0">
      <selection activeCell="B14" sqref="B14"/>
    </sheetView>
  </sheetViews>
  <sheetFormatPr defaultRowHeight="15" x14ac:dyDescent="0.25"/>
  <cols>
    <col min="1" max="1" width="18.7109375" customWidth="1"/>
    <col min="2" max="2" width="13" customWidth="1"/>
    <col min="3" max="3" width="23" style="97" customWidth="1"/>
    <col min="4" max="4" width="13.140625" style="97" customWidth="1"/>
    <col min="5" max="5" width="21.7109375" style="97" customWidth="1"/>
    <col min="6" max="6" width="9.5703125" customWidth="1"/>
    <col min="7" max="7" width="20.7109375" customWidth="1"/>
    <col min="8" max="8" width="11" customWidth="1"/>
    <col min="9" max="9" width="22.28515625" style="97" customWidth="1"/>
    <col min="10" max="10" width="11.5703125" customWidth="1"/>
    <col min="11" max="11" width="19.5703125" style="97" customWidth="1"/>
    <col min="12" max="12" width="11.42578125" customWidth="1"/>
    <col min="13" max="13" width="24.140625" style="97" customWidth="1"/>
    <col min="14" max="14" width="17.42578125" customWidth="1"/>
    <col min="16" max="16" width="18.140625" customWidth="1"/>
    <col min="18" max="18" width="15.42578125" customWidth="1"/>
    <col min="20" max="20" width="15.42578125" customWidth="1"/>
  </cols>
  <sheetData>
    <row r="1" spans="1:13" ht="18.75" x14ac:dyDescent="0.3">
      <c r="A1" s="1006" t="s">
        <v>39</v>
      </c>
      <c r="B1" s="1006"/>
      <c r="C1" s="1006"/>
      <c r="D1" s="1006"/>
      <c r="E1" s="1006"/>
      <c r="F1" s="1006"/>
      <c r="G1" s="1006"/>
      <c r="H1" s="1006"/>
      <c r="I1" s="1006"/>
      <c r="J1" s="1006"/>
      <c r="K1" s="1006"/>
      <c r="L1" s="1006"/>
      <c r="M1" s="1006"/>
    </row>
    <row r="2" spans="1:13" ht="18.75" x14ac:dyDescent="0.3">
      <c r="A2" s="1006" t="s">
        <v>40</v>
      </c>
      <c r="B2" s="1006"/>
      <c r="C2" s="1006"/>
      <c r="D2" s="1006"/>
      <c r="E2" s="1006"/>
      <c r="F2" s="1006"/>
      <c r="G2" s="1006"/>
      <c r="H2" s="1006"/>
      <c r="I2" s="1006"/>
      <c r="J2" s="1006"/>
      <c r="K2" s="1006"/>
      <c r="L2" s="1006"/>
      <c r="M2" s="1006"/>
    </row>
    <row r="3" spans="1:13" ht="18.75" x14ac:dyDescent="0.3">
      <c r="A3" s="1006" t="s">
        <v>302</v>
      </c>
      <c r="B3" s="1006"/>
      <c r="C3" s="1006"/>
      <c r="D3" s="1006"/>
      <c r="E3" s="1006"/>
      <c r="F3" s="1006"/>
      <c r="G3" s="1006"/>
      <c r="H3" s="1006"/>
      <c r="I3" s="1006"/>
      <c r="J3" s="1006"/>
      <c r="K3" s="1006"/>
      <c r="L3" s="1006"/>
      <c r="M3" s="1006"/>
    </row>
    <row r="4" spans="1:13" ht="18.75" x14ac:dyDescent="0.3">
      <c r="A4" s="518"/>
      <c r="B4" s="518"/>
      <c r="C4" s="519"/>
      <c r="D4" s="519"/>
      <c r="E4" s="519"/>
      <c r="F4" s="518"/>
      <c r="G4" s="518"/>
      <c r="H4" s="518"/>
      <c r="I4" s="519"/>
      <c r="J4" s="518"/>
      <c r="K4" s="519"/>
      <c r="L4" s="518"/>
      <c r="M4" s="519"/>
    </row>
    <row r="5" spans="1:13" ht="18" x14ac:dyDescent="0.35">
      <c r="A5" s="911" t="s">
        <v>411</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583"/>
      <c r="B7" s="583"/>
      <c r="C7" s="583"/>
      <c r="D7" s="583"/>
      <c r="E7" s="583"/>
      <c r="F7" s="583"/>
      <c r="G7" s="583"/>
      <c r="H7" s="583"/>
      <c r="I7" s="583"/>
      <c r="J7" s="583"/>
      <c r="K7" s="583"/>
      <c r="L7" s="583"/>
      <c r="M7" s="583"/>
    </row>
    <row r="8" spans="1:13" s="489" customFormat="1" ht="21" x14ac:dyDescent="0.35">
      <c r="A8" s="491"/>
      <c r="B8" s="491"/>
      <c r="C8" s="520"/>
      <c r="D8" s="491"/>
      <c r="E8" s="520"/>
      <c r="F8" s="491"/>
      <c r="G8" s="520"/>
      <c r="H8" s="491"/>
      <c r="I8" s="520"/>
      <c r="J8" s="491"/>
      <c r="K8" s="520"/>
      <c r="L8" s="491"/>
    </row>
    <row r="9" spans="1:13" s="48" customFormat="1" ht="36" customHeight="1" x14ac:dyDescent="0.25">
      <c r="A9" s="1007" t="s">
        <v>3</v>
      </c>
      <c r="B9" s="1008" t="s">
        <v>5</v>
      </c>
      <c r="C9" s="1009"/>
      <c r="D9" s="1009"/>
      <c r="E9" s="1010"/>
      <c r="F9" s="1008" t="s">
        <v>7</v>
      </c>
      <c r="G9" s="1009"/>
      <c r="H9" s="1009"/>
      <c r="I9" s="1010"/>
      <c r="J9" s="1008" t="s">
        <v>306</v>
      </c>
      <c r="K9" s="1009"/>
      <c r="L9" s="1009"/>
      <c r="M9" s="1010"/>
    </row>
    <row r="10" spans="1:13" ht="17.25" customHeight="1" x14ac:dyDescent="0.25">
      <c r="A10" s="1007"/>
      <c r="B10" s="1011" t="s">
        <v>327</v>
      </c>
      <c r="C10" s="1011"/>
      <c r="D10" s="1013" t="s">
        <v>333</v>
      </c>
      <c r="E10" s="1014"/>
      <c r="F10" s="1011" t="s">
        <v>327</v>
      </c>
      <c r="G10" s="1011"/>
      <c r="H10" s="1013" t="s">
        <v>333</v>
      </c>
      <c r="I10" s="1014"/>
      <c r="J10" s="1011" t="s">
        <v>327</v>
      </c>
      <c r="K10" s="1011"/>
      <c r="L10" s="1013" t="s">
        <v>333</v>
      </c>
      <c r="M10" s="1014"/>
    </row>
    <row r="11" spans="1:13" s="343" customFormat="1" ht="47.25" x14ac:dyDescent="0.25">
      <c r="A11" s="1007"/>
      <c r="B11" s="589" t="s">
        <v>307</v>
      </c>
      <c r="C11" s="521" t="s">
        <v>60</v>
      </c>
      <c r="D11" s="589" t="s">
        <v>307</v>
      </c>
      <c r="E11" s="366" t="s">
        <v>305</v>
      </c>
      <c r="F11" s="589" t="s">
        <v>308</v>
      </c>
      <c r="G11" s="588" t="s">
        <v>60</v>
      </c>
      <c r="H11" s="589" t="s">
        <v>308</v>
      </c>
      <c r="I11" s="366" t="s">
        <v>305</v>
      </c>
      <c r="J11" s="589" t="s">
        <v>309</v>
      </c>
      <c r="K11" s="521" t="s">
        <v>60</v>
      </c>
      <c r="L11" s="589" t="s">
        <v>309</v>
      </c>
      <c r="M11" s="521" t="s">
        <v>305</v>
      </c>
    </row>
    <row r="12" spans="1:13" s="605" customFormat="1" ht="18.600000000000001" customHeight="1" x14ac:dyDescent="0.3">
      <c r="A12" s="601" t="s">
        <v>14</v>
      </c>
      <c r="B12" s="602">
        <f>B13+B23+B32+B40</f>
        <v>88876</v>
      </c>
      <c r="C12" s="604">
        <f>C13+C23+C32+C40</f>
        <v>1333140000</v>
      </c>
      <c r="D12" s="602">
        <f t="shared" ref="D12:M12" si="0">D13+D23+D32+D40</f>
        <v>85797</v>
      </c>
      <c r="E12" s="604">
        <f t="shared" si="0"/>
        <v>847505300</v>
      </c>
      <c r="F12" s="602">
        <f t="shared" si="0"/>
        <v>7693</v>
      </c>
      <c r="G12" s="604">
        <f t="shared" si="0"/>
        <v>76930000</v>
      </c>
      <c r="H12" s="602">
        <f t="shared" si="0"/>
        <v>2923</v>
      </c>
      <c r="I12" s="604">
        <f t="shared" si="0"/>
        <v>15854095</v>
      </c>
      <c r="J12" s="602">
        <f t="shared" si="0"/>
        <v>35100</v>
      </c>
      <c r="K12" s="604">
        <f t="shared" si="0"/>
        <v>54756000</v>
      </c>
      <c r="L12" s="602">
        <f t="shared" si="0"/>
        <v>32335</v>
      </c>
      <c r="M12" s="604">
        <f t="shared" si="0"/>
        <v>34300601</v>
      </c>
    </row>
    <row r="13" spans="1:13" ht="15.75" x14ac:dyDescent="0.25">
      <c r="A13" s="523" t="s">
        <v>278</v>
      </c>
      <c r="B13" s="524">
        <f t="shared" ref="B13:M13" si="1">SUM(B14:B22)</f>
        <v>30139</v>
      </c>
      <c r="C13" s="525">
        <f t="shared" si="1"/>
        <v>452085000</v>
      </c>
      <c r="D13" s="524">
        <f t="shared" si="1"/>
        <v>29022</v>
      </c>
      <c r="E13" s="525">
        <f t="shared" si="1"/>
        <v>284717700</v>
      </c>
      <c r="F13" s="524">
        <f t="shared" si="1"/>
        <v>1190</v>
      </c>
      <c r="G13" s="525">
        <f t="shared" si="1"/>
        <v>11900000</v>
      </c>
      <c r="H13" s="524">
        <f t="shared" si="1"/>
        <v>402</v>
      </c>
      <c r="I13" s="525">
        <f t="shared" si="1"/>
        <v>2504000</v>
      </c>
      <c r="J13" s="524">
        <f t="shared" si="1"/>
        <v>8700</v>
      </c>
      <c r="K13" s="525">
        <f t="shared" si="1"/>
        <v>13572000</v>
      </c>
      <c r="L13" s="526">
        <f t="shared" si="1"/>
        <v>11031</v>
      </c>
      <c r="M13" s="525">
        <f t="shared" si="1"/>
        <v>14703704</v>
      </c>
    </row>
    <row r="14" spans="1:13" ht="15.6" x14ac:dyDescent="0.3">
      <c r="A14" s="527" t="s">
        <v>118</v>
      </c>
      <c r="B14" s="528">
        <f>NE_1st!B13</f>
        <v>3407</v>
      </c>
      <c r="C14" s="529">
        <f>NE_1st!C13</f>
        <v>51105000</v>
      </c>
      <c r="D14" s="528">
        <f>NE_1st!D13</f>
        <v>3140</v>
      </c>
      <c r="E14" s="529">
        <f>NE_1st!E13</f>
        <v>31479000</v>
      </c>
      <c r="F14" s="369">
        <f>NE_1st!F13</f>
        <v>150</v>
      </c>
      <c r="G14" s="364">
        <f>NE_1st!G13</f>
        <v>1500000</v>
      </c>
      <c r="H14" s="369">
        <f>NE_1st!H13</f>
        <v>30</v>
      </c>
      <c r="I14" s="364">
        <f>NE_1st!I13</f>
        <v>150000</v>
      </c>
      <c r="J14" s="531">
        <f>NE_1st!J13</f>
        <v>1000</v>
      </c>
      <c r="K14" s="532">
        <f>NE_1st!K13</f>
        <v>1560000</v>
      </c>
      <c r="L14" s="531">
        <f>NE_1st!L13</f>
        <v>1056</v>
      </c>
      <c r="M14" s="532">
        <f>NE_1st!M13</f>
        <v>1372800</v>
      </c>
    </row>
    <row r="15" spans="1:13" ht="15.6" x14ac:dyDescent="0.3">
      <c r="A15" s="527" t="s">
        <v>119</v>
      </c>
      <c r="B15" s="528">
        <f>NE_1st!B14</f>
        <v>3689</v>
      </c>
      <c r="C15" s="529">
        <f>NE_1st!C14</f>
        <v>55335000</v>
      </c>
      <c r="D15" s="528">
        <f>NE_1st!D14</f>
        <v>3536</v>
      </c>
      <c r="E15" s="529">
        <f>NE_1st!E14</f>
        <v>34958900</v>
      </c>
      <c r="F15" s="369">
        <f>NE_1st!F14</f>
        <v>120</v>
      </c>
      <c r="G15" s="364">
        <f>NE_1st!G14</f>
        <v>1200000</v>
      </c>
      <c r="H15" s="369">
        <f>NE_1st!H14</f>
        <v>0</v>
      </c>
      <c r="I15" s="364">
        <f>NE_1st!I14</f>
        <v>0</v>
      </c>
      <c r="J15" s="531">
        <f>NE_1st!J14</f>
        <v>1700</v>
      </c>
      <c r="K15" s="532">
        <f>NE_1st!K14</f>
        <v>2652000</v>
      </c>
      <c r="L15" s="531">
        <f>NE_1st!L14</f>
        <v>1637</v>
      </c>
      <c r="M15" s="532">
        <f>NE_1st!M14</f>
        <v>2573364</v>
      </c>
    </row>
    <row r="16" spans="1:13" ht="15.6" x14ac:dyDescent="0.3">
      <c r="A16" s="527" t="s">
        <v>120</v>
      </c>
      <c r="B16" s="528">
        <f>NE_1st!B15</f>
        <v>6417</v>
      </c>
      <c r="C16" s="529">
        <f>NE_1st!C15</f>
        <v>96255000</v>
      </c>
      <c r="D16" s="528">
        <f>NE_1st!D15</f>
        <v>6171</v>
      </c>
      <c r="E16" s="529">
        <f>NE_1st!E15</f>
        <v>60589200</v>
      </c>
      <c r="F16" s="369">
        <f>NE_1st!F15</f>
        <v>120</v>
      </c>
      <c r="G16" s="364">
        <f>NE_1st!G15</f>
        <v>1200000</v>
      </c>
      <c r="H16" s="369">
        <f>NE_1st!H15</f>
        <v>66</v>
      </c>
      <c r="I16" s="364">
        <f>NE_1st!I15</f>
        <v>405000</v>
      </c>
      <c r="J16" s="531">
        <f>NE_1st!J15</f>
        <v>0</v>
      </c>
      <c r="K16" s="532">
        <f>NE_1st!K15</f>
        <v>0</v>
      </c>
      <c r="L16" s="531">
        <f>NE_1st!L15</f>
        <v>2558</v>
      </c>
      <c r="M16" s="532">
        <f>NE_1st!M15</f>
        <v>4021176</v>
      </c>
    </row>
    <row r="17" spans="1:13" ht="15.6" x14ac:dyDescent="0.3">
      <c r="A17" s="527" t="s">
        <v>121</v>
      </c>
      <c r="B17" s="528">
        <f>NE_1st!B16</f>
        <v>1875</v>
      </c>
      <c r="C17" s="529">
        <f>NE_1st!C16</f>
        <v>28125000</v>
      </c>
      <c r="D17" s="528">
        <f>NE_1st!D16</f>
        <v>1845</v>
      </c>
      <c r="E17" s="529">
        <f>NE_1st!E16</f>
        <v>18783300</v>
      </c>
      <c r="F17" s="369">
        <f>NE_1st!F16</f>
        <v>0</v>
      </c>
      <c r="G17" s="364">
        <f>NE_1st!G16</f>
        <v>0</v>
      </c>
      <c r="H17" s="369">
        <f>NE_1st!H16</f>
        <v>2</v>
      </c>
      <c r="I17" s="364">
        <f>NE_1st!I16</f>
        <v>16000</v>
      </c>
      <c r="J17" s="531">
        <f>NE_1st!J16</f>
        <v>500</v>
      </c>
      <c r="K17" s="532">
        <f>NE_1st!K16</f>
        <v>780000</v>
      </c>
      <c r="L17" s="531">
        <f>NE_1st!L16</f>
        <v>502</v>
      </c>
      <c r="M17" s="532">
        <f>NE_1st!M16</f>
        <v>789144</v>
      </c>
    </row>
    <row r="18" spans="1:13" ht="15.6" x14ac:dyDescent="0.3">
      <c r="A18" s="527" t="s">
        <v>122</v>
      </c>
      <c r="B18" s="528">
        <f>NE_1st!B17</f>
        <v>847</v>
      </c>
      <c r="C18" s="529">
        <f>NE_1st!C17</f>
        <v>12705000</v>
      </c>
      <c r="D18" s="528">
        <f>NE_1st!D17</f>
        <v>839</v>
      </c>
      <c r="E18" s="529">
        <f>NE_1st!E17</f>
        <v>8118200</v>
      </c>
      <c r="F18" s="369">
        <f>NE_1st!F17</f>
        <v>0</v>
      </c>
      <c r="G18" s="364">
        <f>NE_1st!G17</f>
        <v>0</v>
      </c>
      <c r="H18" s="369">
        <f>NE_1st!H17</f>
        <v>0</v>
      </c>
      <c r="I18" s="364">
        <f>NE_1st!I17</f>
        <v>0</v>
      </c>
      <c r="J18" s="531">
        <f>NE_1st!J17</f>
        <v>300</v>
      </c>
      <c r="K18" s="532">
        <f>NE_1st!K17</f>
        <v>468000</v>
      </c>
      <c r="L18" s="531">
        <f>NE_1st!L17</f>
        <v>300</v>
      </c>
      <c r="M18" s="532">
        <f>NE_1st!M17</f>
        <v>54600</v>
      </c>
    </row>
    <row r="19" spans="1:13" ht="15.6" x14ac:dyDescent="0.3">
      <c r="A19" s="527" t="s">
        <v>123</v>
      </c>
      <c r="B19" s="528">
        <f>NE_1st!B18</f>
        <v>2900</v>
      </c>
      <c r="C19" s="529">
        <f>NE_1st!C18</f>
        <v>43500000</v>
      </c>
      <c r="D19" s="528">
        <f>NE_1st!D18</f>
        <v>2860</v>
      </c>
      <c r="E19" s="529">
        <f>NE_1st!E18</f>
        <v>27096800</v>
      </c>
      <c r="F19" s="369">
        <f>NE_1st!F18</f>
        <v>150</v>
      </c>
      <c r="G19" s="364">
        <f>NE_1st!G18</f>
        <v>1500000</v>
      </c>
      <c r="H19" s="369">
        <f>NE_1st!H18</f>
        <v>32</v>
      </c>
      <c r="I19" s="364">
        <f>NE_1st!I18</f>
        <v>313000</v>
      </c>
      <c r="J19" s="531">
        <f>NE_1st!J18</f>
        <v>900</v>
      </c>
      <c r="K19" s="532">
        <f>NE_1st!K18</f>
        <v>1404000</v>
      </c>
      <c r="L19" s="531">
        <f>NE_1st!L18</f>
        <v>725</v>
      </c>
      <c r="M19" s="532">
        <f>NE_1st!M18</f>
        <v>461825</v>
      </c>
    </row>
    <row r="20" spans="1:13" ht="15.6" x14ac:dyDescent="0.3">
      <c r="A20" s="527" t="s">
        <v>124</v>
      </c>
      <c r="B20" s="528">
        <f>NE_1st!B19</f>
        <v>2641</v>
      </c>
      <c r="C20" s="529">
        <f>NE_1st!C19</f>
        <v>39615000</v>
      </c>
      <c r="D20" s="528">
        <f>NE_1st!D19</f>
        <v>2485</v>
      </c>
      <c r="E20" s="529">
        <f>NE_1st!E19</f>
        <v>24512100</v>
      </c>
      <c r="F20" s="369">
        <f>NE_1st!F19</f>
        <v>0</v>
      </c>
      <c r="G20" s="364">
        <f>NE_1st!G19</f>
        <v>0</v>
      </c>
      <c r="H20" s="369">
        <f>NE_1st!H19</f>
        <v>35</v>
      </c>
      <c r="I20" s="364">
        <f>NE_1st!I19</f>
        <v>175000</v>
      </c>
      <c r="J20" s="531">
        <f>NE_1st!J19</f>
        <v>1100</v>
      </c>
      <c r="K20" s="532">
        <f>NE_1st!K19</f>
        <v>1716000</v>
      </c>
      <c r="L20" s="531">
        <f>NE_1st!L19</f>
        <v>1061</v>
      </c>
      <c r="M20" s="532">
        <f>NE_1st!M19</f>
        <v>689650</v>
      </c>
    </row>
    <row r="21" spans="1:13" ht="15.6" x14ac:dyDescent="0.3">
      <c r="A21" s="527" t="s">
        <v>125</v>
      </c>
      <c r="B21" s="528">
        <f>NE_1st!B20</f>
        <v>6025</v>
      </c>
      <c r="C21" s="529">
        <f>NE_1st!C20</f>
        <v>90375000</v>
      </c>
      <c r="D21" s="528">
        <f>NE_1st!D20</f>
        <v>5969</v>
      </c>
      <c r="E21" s="529">
        <f>NE_1st!E20</f>
        <v>56991400</v>
      </c>
      <c r="F21" s="369">
        <f>NE_1st!F20</f>
        <v>500</v>
      </c>
      <c r="G21" s="364">
        <f>NE_1st!G20</f>
        <v>5000000</v>
      </c>
      <c r="H21" s="369">
        <f>NE_1st!H20</f>
        <v>217</v>
      </c>
      <c r="I21" s="364">
        <f>NE_1st!I20</f>
        <v>1245000</v>
      </c>
      <c r="J21" s="531">
        <f>NE_1st!J20</f>
        <v>2500</v>
      </c>
      <c r="K21" s="532">
        <f>NE_1st!K20</f>
        <v>3900000</v>
      </c>
      <c r="L21" s="531">
        <f>NE_1st!L20</f>
        <v>2371</v>
      </c>
      <c r="M21" s="532">
        <f>NE_1st!M20</f>
        <v>3727210</v>
      </c>
    </row>
    <row r="22" spans="1:13" ht="15.6" x14ac:dyDescent="0.3">
      <c r="A22" s="527" t="s">
        <v>126</v>
      </c>
      <c r="B22" s="528">
        <f>NE_1st!B21</f>
        <v>2338</v>
      </c>
      <c r="C22" s="529">
        <f>NE_1st!C21</f>
        <v>35070000</v>
      </c>
      <c r="D22" s="528">
        <f>NE_1st!D21</f>
        <v>2177</v>
      </c>
      <c r="E22" s="529">
        <f>NE_1st!E21</f>
        <v>22188800</v>
      </c>
      <c r="F22" s="369">
        <f>NE_1st!F21</f>
        <v>150</v>
      </c>
      <c r="G22" s="364">
        <f>NE_1st!G21</f>
        <v>1500000</v>
      </c>
      <c r="H22" s="369">
        <f>NE_1st!H21</f>
        <v>20</v>
      </c>
      <c r="I22" s="364">
        <f>NE_1st!I21</f>
        <v>200000</v>
      </c>
      <c r="J22" s="531">
        <f>NE_1st!J21</f>
        <v>700</v>
      </c>
      <c r="K22" s="532">
        <f>NE_1st!K21</f>
        <v>1092000</v>
      </c>
      <c r="L22" s="531">
        <f>NE_1st!L21</f>
        <v>821</v>
      </c>
      <c r="M22" s="532">
        <f>NE_1st!M21</f>
        <v>1013935</v>
      </c>
    </row>
    <row r="23" spans="1:13" ht="14.45" x14ac:dyDescent="0.3">
      <c r="A23" s="349" t="s">
        <v>397</v>
      </c>
      <c r="B23" s="477">
        <f t="shared" ref="B23:M23" si="2">SUM(B24:B31)</f>
        <v>21072</v>
      </c>
      <c r="C23" s="351">
        <f t="shared" si="2"/>
        <v>316080000</v>
      </c>
      <c r="D23" s="477">
        <f t="shared" si="2"/>
        <v>20467</v>
      </c>
      <c r="E23" s="351">
        <f t="shared" si="2"/>
        <v>196397700</v>
      </c>
      <c r="F23" s="477">
        <f t="shared" si="2"/>
        <v>2003</v>
      </c>
      <c r="G23" s="351">
        <f t="shared" si="2"/>
        <v>20030000</v>
      </c>
      <c r="H23" s="477">
        <f t="shared" si="2"/>
        <v>175</v>
      </c>
      <c r="I23" s="351">
        <f t="shared" si="2"/>
        <v>1075000</v>
      </c>
      <c r="J23" s="477">
        <f t="shared" si="2"/>
        <v>9000</v>
      </c>
      <c r="K23" s="351">
        <f t="shared" si="2"/>
        <v>14040000</v>
      </c>
      <c r="L23" s="350">
        <f t="shared" si="2"/>
        <v>7461</v>
      </c>
      <c r="M23" s="351">
        <f t="shared" si="2"/>
        <v>7012114</v>
      </c>
    </row>
    <row r="24" spans="1:13" ht="14.45" x14ac:dyDescent="0.3">
      <c r="A24" s="83" t="s">
        <v>127</v>
      </c>
      <c r="B24" s="426">
        <f>NE_2nd!B13</f>
        <v>2305</v>
      </c>
      <c r="C24" s="100">
        <f>NE_2nd!C13</f>
        <v>34575000</v>
      </c>
      <c r="D24" s="426">
        <f>NE_2nd!D13</f>
        <v>2287</v>
      </c>
      <c r="E24" s="100">
        <f>NE_2nd!E13</f>
        <v>21898400</v>
      </c>
      <c r="F24" s="30">
        <f>NE_2nd!F13</f>
        <v>0</v>
      </c>
      <c r="G24" s="584">
        <f>NE_2nd!G13</f>
        <v>0</v>
      </c>
      <c r="H24" s="30">
        <f>NE_2nd!H13</f>
        <v>15</v>
      </c>
      <c r="I24" s="618">
        <f>NE_2nd!I13</f>
        <v>75000</v>
      </c>
      <c r="J24" s="581">
        <f>NE_2nd!J13</f>
        <v>1000</v>
      </c>
      <c r="K24" s="17">
        <f>NE_2nd!K13</f>
        <v>1560000</v>
      </c>
      <c r="L24" s="617">
        <f>NE_2nd!L13</f>
        <v>0</v>
      </c>
      <c r="M24" s="17">
        <f>NE_2nd!M13</f>
        <v>0</v>
      </c>
    </row>
    <row r="25" spans="1:13" ht="14.45" x14ac:dyDescent="0.3">
      <c r="A25" s="83" t="s">
        <v>128</v>
      </c>
      <c r="B25" s="426">
        <f>NE_2nd!B14</f>
        <v>1802</v>
      </c>
      <c r="C25" s="100">
        <f>NE_2nd!C14</f>
        <v>27030000</v>
      </c>
      <c r="D25" s="426">
        <f>NE_2nd!D14</f>
        <v>1770</v>
      </c>
      <c r="E25" s="100">
        <f>NE_2nd!E14</f>
        <v>17089600</v>
      </c>
      <c r="F25" s="30">
        <f>NE_2nd!F14</f>
        <v>83</v>
      </c>
      <c r="G25" s="618">
        <f>NE_2nd!G14</f>
        <v>830000</v>
      </c>
      <c r="H25" s="30">
        <f>NE_2nd!H14</f>
        <v>0</v>
      </c>
      <c r="I25" s="618">
        <f>NE_2nd!I14</f>
        <v>0</v>
      </c>
      <c r="J25" s="617">
        <f>NE_2nd!J14</f>
        <v>800</v>
      </c>
      <c r="K25" s="17">
        <f>NE_2nd!K14</f>
        <v>1248000</v>
      </c>
      <c r="L25" s="617">
        <f>NE_2nd!L14</f>
        <v>871</v>
      </c>
      <c r="M25" s="17">
        <f>NE_2nd!M14</f>
        <v>1369212</v>
      </c>
    </row>
    <row r="26" spans="1:13" ht="14.45" x14ac:dyDescent="0.3">
      <c r="A26" s="83" t="s">
        <v>129</v>
      </c>
      <c r="B26" s="426">
        <f>NE_2nd!B15</f>
        <v>2666</v>
      </c>
      <c r="C26" s="100">
        <f>NE_2nd!C15</f>
        <v>39990000</v>
      </c>
      <c r="D26" s="426">
        <f>NE_2nd!D15</f>
        <v>2581</v>
      </c>
      <c r="E26" s="100">
        <f>NE_2nd!E15</f>
        <v>24814200</v>
      </c>
      <c r="F26" s="30">
        <f>NE_2nd!F15</f>
        <v>0</v>
      </c>
      <c r="G26" s="618">
        <f>NE_2nd!G15</f>
        <v>0</v>
      </c>
      <c r="H26" s="30">
        <f>NE_2nd!H15</f>
        <v>0</v>
      </c>
      <c r="I26" s="618">
        <f>NE_2nd!I15</f>
        <v>0</v>
      </c>
      <c r="J26" s="617">
        <f>NE_2nd!J15</f>
        <v>800</v>
      </c>
      <c r="K26" s="17">
        <f>NE_2nd!K15</f>
        <v>1248000</v>
      </c>
      <c r="L26" s="617">
        <f>NE_2nd!L15</f>
        <v>734</v>
      </c>
      <c r="M26" s="17">
        <f>NE_2nd!M15</f>
        <v>811070</v>
      </c>
    </row>
    <row r="27" spans="1:13" ht="14.45" x14ac:dyDescent="0.3">
      <c r="A27" s="83" t="s">
        <v>130</v>
      </c>
      <c r="B27" s="426">
        <f>NE_2nd!B16</f>
        <v>1433</v>
      </c>
      <c r="C27" s="100">
        <f>NE_2nd!C16</f>
        <v>21495000</v>
      </c>
      <c r="D27" s="426">
        <f>NE_2nd!D16</f>
        <v>1406</v>
      </c>
      <c r="E27" s="100">
        <f>NE_2nd!E16</f>
        <v>14629400</v>
      </c>
      <c r="F27" s="30">
        <f>NE_2nd!F16</f>
        <v>200</v>
      </c>
      <c r="G27" s="618">
        <f>NE_2nd!G16</f>
        <v>2000000</v>
      </c>
      <c r="H27" s="30">
        <f>NE_2nd!H16</f>
        <v>25</v>
      </c>
      <c r="I27" s="618">
        <f>NE_2nd!I16</f>
        <v>125000</v>
      </c>
      <c r="J27" s="617">
        <f>NE_2nd!J16</f>
        <v>900</v>
      </c>
      <c r="K27" s="17">
        <f>NE_2nd!K16</f>
        <v>1404000</v>
      </c>
      <c r="L27" s="617">
        <f>NE_2nd!L16</f>
        <v>0</v>
      </c>
      <c r="M27" s="17">
        <f>NE_2nd!M16</f>
        <v>0</v>
      </c>
    </row>
    <row r="28" spans="1:13" ht="14.45" x14ac:dyDescent="0.3">
      <c r="A28" s="83" t="s">
        <v>131</v>
      </c>
      <c r="B28" s="426">
        <f>NE_2nd!B17</f>
        <v>2338</v>
      </c>
      <c r="C28" s="100">
        <f>NE_2nd!C17</f>
        <v>35070000</v>
      </c>
      <c r="D28" s="426">
        <f>NE_2nd!D17</f>
        <v>2283</v>
      </c>
      <c r="E28" s="100">
        <f>NE_2nd!E17</f>
        <v>22931200</v>
      </c>
      <c r="F28" s="30">
        <f>NE_2nd!F17</f>
        <v>150</v>
      </c>
      <c r="G28" s="618">
        <f>NE_2nd!G17</f>
        <v>1500000</v>
      </c>
      <c r="H28" s="30">
        <f>NE_2nd!H17</f>
        <v>0</v>
      </c>
      <c r="I28" s="618">
        <f>NE_2nd!I17</f>
        <v>0</v>
      </c>
      <c r="J28" s="617">
        <f>NE_2nd!J17</f>
        <v>1200</v>
      </c>
      <c r="K28" s="17">
        <f>NE_2nd!K17</f>
        <v>1872000</v>
      </c>
      <c r="L28" s="617">
        <f>NE_2nd!L17</f>
        <v>1293</v>
      </c>
      <c r="M28" s="17">
        <f>NE_2nd!M17</f>
        <v>2032596</v>
      </c>
    </row>
    <row r="29" spans="1:13" ht="14.45" x14ac:dyDescent="0.3">
      <c r="A29" s="83" t="s">
        <v>132</v>
      </c>
      <c r="B29" s="426">
        <f>NE_2nd!B18</f>
        <v>4457</v>
      </c>
      <c r="C29" s="100">
        <f>NE_2nd!C18</f>
        <v>66855000</v>
      </c>
      <c r="D29" s="426">
        <f>NE_2nd!D18</f>
        <v>4439</v>
      </c>
      <c r="E29" s="100">
        <f>NE_2nd!E18</f>
        <v>41558700</v>
      </c>
      <c r="F29" s="30">
        <f>NE_2nd!F18</f>
        <v>520</v>
      </c>
      <c r="G29" s="618">
        <f>NE_2nd!G18</f>
        <v>5200000</v>
      </c>
      <c r="H29" s="30">
        <f>NE_2nd!H18</f>
        <v>0</v>
      </c>
      <c r="I29" s="618">
        <f>NE_2nd!I18</f>
        <v>0</v>
      </c>
      <c r="J29" s="617">
        <f>NE_2nd!J18</f>
        <v>2100</v>
      </c>
      <c r="K29" s="17">
        <f>NE_2nd!K18</f>
        <v>3276000</v>
      </c>
      <c r="L29" s="617">
        <f>NE_2nd!L18</f>
        <v>2355</v>
      </c>
      <c r="M29" s="17">
        <f>NE_2nd!M18</f>
        <v>1347060</v>
      </c>
    </row>
    <row r="30" spans="1:13" ht="28.9" x14ac:dyDescent="0.3">
      <c r="A30" s="83" t="s">
        <v>133</v>
      </c>
      <c r="B30" s="426">
        <f>NE_2nd!B19</f>
        <v>4393</v>
      </c>
      <c r="C30" s="100">
        <f>NE_2nd!C19</f>
        <v>65895000</v>
      </c>
      <c r="D30" s="426">
        <f>NE_2nd!D19</f>
        <v>4061</v>
      </c>
      <c r="E30" s="100">
        <f>NE_2nd!E19</f>
        <v>38557800</v>
      </c>
      <c r="F30" s="30">
        <f>NE_2nd!F19</f>
        <v>890</v>
      </c>
      <c r="G30" s="618">
        <f>NE_2nd!G19</f>
        <v>8900000</v>
      </c>
      <c r="H30" s="30">
        <f>NE_2nd!H19</f>
        <v>115</v>
      </c>
      <c r="I30" s="618">
        <f>NE_2nd!I19</f>
        <v>675000</v>
      </c>
      <c r="J30" s="617">
        <f>NE_2nd!J19</f>
        <v>1500</v>
      </c>
      <c r="K30" s="17">
        <f>NE_2nd!K19</f>
        <v>2340000</v>
      </c>
      <c r="L30" s="617">
        <f>NE_2nd!L19</f>
        <v>1400</v>
      </c>
      <c r="M30" s="17">
        <f>NE_2nd!M19</f>
        <v>182000</v>
      </c>
    </row>
    <row r="31" spans="1:13" ht="14.45" x14ac:dyDescent="0.3">
      <c r="A31" s="83" t="s">
        <v>134</v>
      </c>
      <c r="B31" s="426">
        <f>NE_2nd!B20</f>
        <v>1678</v>
      </c>
      <c r="C31" s="100">
        <f>NE_2nd!C20</f>
        <v>25170000</v>
      </c>
      <c r="D31" s="426">
        <f>NE_2nd!D20</f>
        <v>1640</v>
      </c>
      <c r="E31" s="100">
        <f>NE_2nd!E20</f>
        <v>14918400</v>
      </c>
      <c r="F31" s="30">
        <f>NE_2nd!F20</f>
        <v>160</v>
      </c>
      <c r="G31" s="618">
        <f>NE_2nd!G20</f>
        <v>1600000</v>
      </c>
      <c r="H31" s="30">
        <f>NE_2nd!H20</f>
        <v>20</v>
      </c>
      <c r="I31" s="618">
        <f>NE_2nd!I20</f>
        <v>200000</v>
      </c>
      <c r="J31" s="617">
        <f>NE_2nd!J20</f>
        <v>700</v>
      </c>
      <c r="K31" s="17">
        <f>NE_2nd!K20</f>
        <v>1092000</v>
      </c>
      <c r="L31" s="617">
        <f>NE_2nd!L20</f>
        <v>808</v>
      </c>
      <c r="M31" s="17">
        <f>NE_2nd!M20</f>
        <v>1270176</v>
      </c>
    </row>
    <row r="32" spans="1:13" ht="14.45" x14ac:dyDescent="0.3">
      <c r="A32" s="349" t="s">
        <v>406</v>
      </c>
      <c r="B32" s="477">
        <f t="shared" ref="B32:M32" si="3">SUM(B33:B39)</f>
        <v>19551</v>
      </c>
      <c r="C32" s="351">
        <f t="shared" si="3"/>
        <v>293265000</v>
      </c>
      <c r="D32" s="477">
        <f t="shared" si="3"/>
        <v>18731</v>
      </c>
      <c r="E32" s="351">
        <f t="shared" si="3"/>
        <v>187987400</v>
      </c>
      <c r="F32" s="477">
        <f t="shared" si="3"/>
        <v>1860</v>
      </c>
      <c r="G32" s="351">
        <f t="shared" si="3"/>
        <v>18600000</v>
      </c>
      <c r="H32" s="477">
        <f t="shared" si="3"/>
        <v>797</v>
      </c>
      <c r="I32" s="351">
        <f t="shared" si="3"/>
        <v>4527000</v>
      </c>
      <c r="J32" s="477">
        <f t="shared" si="3"/>
        <v>10700</v>
      </c>
      <c r="K32" s="351">
        <f t="shared" si="3"/>
        <v>16692000</v>
      </c>
      <c r="L32" s="350">
        <f t="shared" si="3"/>
        <v>8700</v>
      </c>
      <c r="M32" s="351">
        <f t="shared" si="3"/>
        <v>7810968</v>
      </c>
    </row>
    <row r="33" spans="1:13" x14ac:dyDescent="0.25">
      <c r="A33" s="83" t="s">
        <v>135</v>
      </c>
      <c r="B33" s="426">
        <f>NE_3rd!B13</f>
        <v>2985</v>
      </c>
      <c r="C33" s="100">
        <f>NE_3rd!C13</f>
        <v>44775000</v>
      </c>
      <c r="D33" s="426">
        <f>NE_3rd!D13</f>
        <v>2894</v>
      </c>
      <c r="E33" s="100">
        <f>NE_3rd!E13</f>
        <v>29777500</v>
      </c>
      <c r="F33" s="30">
        <f>NE_3rd!F13</f>
        <v>100</v>
      </c>
      <c r="G33" s="584">
        <f>NE_3rd!G13</f>
        <v>1000000</v>
      </c>
      <c r="H33" s="30">
        <f>NE_3rd!H13</f>
        <v>40</v>
      </c>
      <c r="I33" s="618">
        <f>NE_3rd!I13</f>
        <v>200000</v>
      </c>
      <c r="J33" s="581">
        <f>NE_3rd!J13</f>
        <v>1700</v>
      </c>
      <c r="K33" s="17">
        <f>NE_3rd!K13</f>
        <v>2652000</v>
      </c>
      <c r="L33" s="617">
        <f>NE_3rd!L13</f>
        <v>1364</v>
      </c>
      <c r="M33" s="17">
        <f>NE_3rd!M13</f>
        <v>975260</v>
      </c>
    </row>
    <row r="34" spans="1:13" x14ac:dyDescent="0.25">
      <c r="A34" s="83" t="s">
        <v>136</v>
      </c>
      <c r="B34" s="426">
        <f>NE_3rd!B14</f>
        <v>7004</v>
      </c>
      <c r="C34" s="100">
        <f>NE_3rd!C14</f>
        <v>105060000</v>
      </c>
      <c r="D34" s="426">
        <f>NE_3rd!D14</f>
        <v>6680</v>
      </c>
      <c r="E34" s="100">
        <f>NE_3rd!E14</f>
        <v>64594300</v>
      </c>
      <c r="F34" s="30">
        <f>NE_3rd!F14</f>
        <v>600</v>
      </c>
      <c r="G34" s="618">
        <f>NE_3rd!G14</f>
        <v>6000000</v>
      </c>
      <c r="H34" s="30">
        <f>NE_3rd!H14</f>
        <v>100</v>
      </c>
      <c r="I34" s="618">
        <f>NE_3rd!I14</f>
        <v>599000</v>
      </c>
      <c r="J34" s="617">
        <f>NE_3rd!J14</f>
        <v>3800</v>
      </c>
      <c r="K34" s="17">
        <f>NE_3rd!K14</f>
        <v>5928000</v>
      </c>
      <c r="L34" s="617">
        <f>NE_3rd!L14</f>
        <v>4293</v>
      </c>
      <c r="M34" s="17">
        <f>NE_3rd!M14</f>
        <v>3125304</v>
      </c>
    </row>
    <row r="35" spans="1:13" x14ac:dyDescent="0.25">
      <c r="A35" s="83" t="s">
        <v>137</v>
      </c>
      <c r="B35" s="426">
        <f>NE_3rd!B15</f>
        <v>2066</v>
      </c>
      <c r="C35" s="100">
        <f>NE_3rd!C15</f>
        <v>30990000</v>
      </c>
      <c r="D35" s="426">
        <f>NE_3rd!D15</f>
        <v>2003</v>
      </c>
      <c r="E35" s="100">
        <f>NE_3rd!E15</f>
        <v>20005200</v>
      </c>
      <c r="F35" s="30">
        <f>NE_3rd!F15</f>
        <v>100</v>
      </c>
      <c r="G35" s="618">
        <f>NE_3rd!G15</f>
        <v>1000000</v>
      </c>
      <c r="H35" s="30">
        <f>NE_3rd!H15</f>
        <v>96</v>
      </c>
      <c r="I35" s="618">
        <f>NE_3rd!I15</f>
        <v>768000</v>
      </c>
      <c r="J35" s="617">
        <f>NE_3rd!J15</f>
        <v>700</v>
      </c>
      <c r="K35" s="17">
        <f>NE_3rd!K15</f>
        <v>1092000</v>
      </c>
      <c r="L35" s="617">
        <f>NE_3rd!L15</f>
        <v>809</v>
      </c>
      <c r="M35" s="17">
        <f>NE_3rd!M15</f>
        <v>841360</v>
      </c>
    </row>
    <row r="36" spans="1:13" x14ac:dyDescent="0.25">
      <c r="A36" s="83" t="s">
        <v>138</v>
      </c>
      <c r="B36" s="426">
        <f>NE_3rd!B16</f>
        <v>1949</v>
      </c>
      <c r="C36" s="100">
        <f>NE_3rd!C16</f>
        <v>29235000</v>
      </c>
      <c r="D36" s="426">
        <f>NE_3rd!D16</f>
        <v>1911</v>
      </c>
      <c r="E36" s="100">
        <f>NE_3rd!E16</f>
        <v>19210400</v>
      </c>
      <c r="F36" s="30">
        <f>NE_3rd!F16</f>
        <v>250</v>
      </c>
      <c r="G36" s="618">
        <f>NE_3rd!G16</f>
        <v>2500000</v>
      </c>
      <c r="H36" s="30">
        <f>NE_3rd!H16</f>
        <v>80</v>
      </c>
      <c r="I36" s="618">
        <f>NE_3rd!I16</f>
        <v>550000</v>
      </c>
      <c r="J36" s="617">
        <f>NE_3rd!J16</f>
        <v>900</v>
      </c>
      <c r="K36" s="17">
        <f>NE_3rd!K16</f>
        <v>1404000</v>
      </c>
      <c r="L36" s="617">
        <f>NE_3rd!L16</f>
        <v>1041</v>
      </c>
      <c r="M36" s="17">
        <f>NE_3rd!M16</f>
        <v>757848</v>
      </c>
    </row>
    <row r="37" spans="1:13" x14ac:dyDescent="0.25">
      <c r="A37" s="83" t="s">
        <v>139</v>
      </c>
      <c r="B37" s="426">
        <f>NE_3rd!B17</f>
        <v>2335</v>
      </c>
      <c r="C37" s="100">
        <f>NE_3rd!C17</f>
        <v>35025000</v>
      </c>
      <c r="D37" s="426">
        <f>NE_3rd!D17</f>
        <v>2245</v>
      </c>
      <c r="E37" s="100">
        <f>NE_3rd!E17</f>
        <v>23504500</v>
      </c>
      <c r="F37" s="30">
        <f>NE_3rd!F17</f>
        <v>250</v>
      </c>
      <c r="G37" s="618">
        <f>NE_3rd!G17</f>
        <v>2500000</v>
      </c>
      <c r="H37" s="30">
        <f>NE_3rd!H17</f>
        <v>30</v>
      </c>
      <c r="I37" s="618">
        <f>NE_3rd!I17</f>
        <v>150000</v>
      </c>
      <c r="J37" s="617">
        <f>NE_3rd!J17</f>
        <v>1000</v>
      </c>
      <c r="K37" s="17">
        <f>NE_3rd!K17</f>
        <v>1560000</v>
      </c>
      <c r="L37" s="617">
        <f>NE_3rd!L17</f>
        <v>0</v>
      </c>
      <c r="M37" s="17">
        <f>NE_3rd!M17</f>
        <v>0</v>
      </c>
    </row>
    <row r="38" spans="1:13" x14ac:dyDescent="0.25">
      <c r="A38" s="83" t="s">
        <v>140</v>
      </c>
      <c r="B38" s="426">
        <f>NE_3rd!B18</f>
        <v>1440</v>
      </c>
      <c r="C38" s="100">
        <f>NE_3rd!C18</f>
        <v>21600000</v>
      </c>
      <c r="D38" s="426">
        <f>NE_3rd!D18</f>
        <v>1266</v>
      </c>
      <c r="E38" s="100">
        <f>NE_3rd!E18</f>
        <v>12884400</v>
      </c>
      <c r="F38" s="30">
        <f>NE_3rd!F18</f>
        <v>390</v>
      </c>
      <c r="G38" s="618">
        <f>NE_3rd!G18</f>
        <v>3900000</v>
      </c>
      <c r="H38" s="30">
        <f>NE_3rd!H18</f>
        <v>51</v>
      </c>
      <c r="I38" s="618">
        <f>NE_3rd!I18</f>
        <v>260000</v>
      </c>
      <c r="J38" s="617">
        <f>NE_3rd!J18</f>
        <v>1200</v>
      </c>
      <c r="K38" s="17">
        <f>NE_3rd!K18</f>
        <v>1872000</v>
      </c>
      <c r="L38" s="617">
        <f>NE_3rd!L18</f>
        <v>1193</v>
      </c>
      <c r="M38" s="17">
        <f>NE_3rd!M18</f>
        <v>2111196</v>
      </c>
    </row>
    <row r="39" spans="1:13" x14ac:dyDescent="0.25">
      <c r="A39" s="83" t="s">
        <v>141</v>
      </c>
      <c r="B39" s="426">
        <f>NE_3rd!B19</f>
        <v>1772</v>
      </c>
      <c r="C39" s="100">
        <f>NE_3rd!C19</f>
        <v>26580000</v>
      </c>
      <c r="D39" s="426">
        <f>NE_3rd!D19</f>
        <v>1732</v>
      </c>
      <c r="E39" s="100">
        <f>NE_3rd!E19</f>
        <v>18011100</v>
      </c>
      <c r="F39" s="30">
        <f>NE_3rd!F19</f>
        <v>170</v>
      </c>
      <c r="G39" s="618">
        <f>NE_3rd!G19</f>
        <v>1700000</v>
      </c>
      <c r="H39" s="30">
        <f>NE_3rd!H19</f>
        <v>400</v>
      </c>
      <c r="I39" s="618">
        <f>NE_3rd!I19</f>
        <v>2000000</v>
      </c>
      <c r="J39" s="617">
        <f>NE_3rd!J19</f>
        <v>1400</v>
      </c>
      <c r="K39" s="17">
        <f>NE_3rd!K19</f>
        <v>2184000</v>
      </c>
      <c r="L39" s="617">
        <f>NE_3rd!L19</f>
        <v>0</v>
      </c>
      <c r="M39" s="17">
        <f>NE_3rd!M19</f>
        <v>0</v>
      </c>
    </row>
    <row r="40" spans="1:13" x14ac:dyDescent="0.25">
      <c r="A40" s="349" t="s">
        <v>399</v>
      </c>
      <c r="B40" s="477">
        <f t="shared" ref="B40:M40" si="4">SUM(B41:B48)</f>
        <v>18114</v>
      </c>
      <c r="C40" s="351">
        <f t="shared" si="4"/>
        <v>271710000</v>
      </c>
      <c r="D40" s="477">
        <f t="shared" si="4"/>
        <v>17577</v>
      </c>
      <c r="E40" s="351">
        <f t="shared" si="4"/>
        <v>178402500</v>
      </c>
      <c r="F40" s="477">
        <f t="shared" si="4"/>
        <v>2640</v>
      </c>
      <c r="G40" s="351">
        <f t="shared" si="4"/>
        <v>26400000</v>
      </c>
      <c r="H40" s="477">
        <f t="shared" si="4"/>
        <v>1549</v>
      </c>
      <c r="I40" s="351">
        <f t="shared" si="4"/>
        <v>7748095</v>
      </c>
      <c r="J40" s="477">
        <f t="shared" si="4"/>
        <v>6700</v>
      </c>
      <c r="K40" s="351">
        <f t="shared" si="4"/>
        <v>10452000</v>
      </c>
      <c r="L40" s="350">
        <f t="shared" si="4"/>
        <v>5143</v>
      </c>
      <c r="M40" s="351">
        <f t="shared" si="4"/>
        <v>4773815</v>
      </c>
    </row>
    <row r="41" spans="1:13" x14ac:dyDescent="0.25">
      <c r="A41" s="83" t="s">
        <v>142</v>
      </c>
      <c r="B41" s="426">
        <f>NE_4th!B13</f>
        <v>2719</v>
      </c>
      <c r="C41" s="100">
        <f>NE_4th!C13</f>
        <v>40785000</v>
      </c>
      <c r="D41" s="426">
        <f>NE_4th!D13</f>
        <v>2611</v>
      </c>
      <c r="E41" s="100">
        <f>NE_4th!E13</f>
        <v>27133200</v>
      </c>
      <c r="F41" s="30">
        <f>NE_4th!F13</f>
        <v>390</v>
      </c>
      <c r="G41" s="584">
        <f>NE_4th!G13</f>
        <v>3900000</v>
      </c>
      <c r="H41" s="30">
        <f>NE_4th!H13</f>
        <v>0</v>
      </c>
      <c r="I41" s="618">
        <f>NE_4th!I13</f>
        <v>0</v>
      </c>
      <c r="J41" s="581">
        <f>NE_4th!J13</f>
        <v>1100</v>
      </c>
      <c r="K41" s="17">
        <f>NE_4th!K13</f>
        <v>1716000</v>
      </c>
      <c r="L41" s="617">
        <f>NE_4th!L13</f>
        <v>1445</v>
      </c>
      <c r="M41" s="17">
        <f>NE_4th!M13</f>
        <v>131495</v>
      </c>
    </row>
    <row r="42" spans="1:13" x14ac:dyDescent="0.25">
      <c r="A42" s="83" t="s">
        <v>143</v>
      </c>
      <c r="B42" s="426">
        <f>NE_4th!B14</f>
        <v>2154</v>
      </c>
      <c r="C42" s="100">
        <f>NE_4th!C14</f>
        <v>32310000</v>
      </c>
      <c r="D42" s="426">
        <f>NE_4th!D14</f>
        <v>2130</v>
      </c>
      <c r="E42" s="100">
        <f>NE_4th!E14</f>
        <v>22249900</v>
      </c>
      <c r="F42" s="30">
        <f>NE_4th!F14</f>
        <v>725</v>
      </c>
      <c r="G42" s="618">
        <f>NE_4th!G14</f>
        <v>7250000</v>
      </c>
      <c r="H42" s="30">
        <f>NE_4th!H14</f>
        <v>247</v>
      </c>
      <c r="I42" s="618">
        <f>NE_4th!I14</f>
        <v>1235000</v>
      </c>
      <c r="J42" s="617">
        <f>NE_4th!J14</f>
        <v>1200</v>
      </c>
      <c r="K42" s="17">
        <f>NE_4th!K14</f>
        <v>1872000</v>
      </c>
      <c r="L42" s="617">
        <f>NE_4th!L14</f>
        <v>852</v>
      </c>
      <c r="M42" s="17">
        <f>NE_4th!M14</f>
        <v>1339770</v>
      </c>
    </row>
    <row r="43" spans="1:13" x14ac:dyDescent="0.25">
      <c r="A43" s="83" t="s">
        <v>144</v>
      </c>
      <c r="B43" s="426">
        <f>NE_4th!B15</f>
        <v>1325</v>
      </c>
      <c r="C43" s="100">
        <f>NE_4th!C15</f>
        <v>19875000</v>
      </c>
      <c r="D43" s="426">
        <f>NE_4th!D15</f>
        <v>1397</v>
      </c>
      <c r="E43" s="100">
        <f>NE_4th!E15</f>
        <v>14592700</v>
      </c>
      <c r="F43" s="30">
        <f>NE_4th!F15</f>
        <v>675</v>
      </c>
      <c r="G43" s="618">
        <f>NE_4th!G15</f>
        <v>6750000</v>
      </c>
      <c r="H43" s="30">
        <f>NE_4th!H15</f>
        <v>81</v>
      </c>
      <c r="I43" s="618">
        <f>NE_4th!I15</f>
        <v>403095</v>
      </c>
      <c r="J43" s="617">
        <f>NE_4th!J15</f>
        <v>800</v>
      </c>
      <c r="K43" s="17">
        <f>NE_4th!K15</f>
        <v>1248000</v>
      </c>
      <c r="L43" s="617">
        <f>NE_4th!L15</f>
        <v>0</v>
      </c>
      <c r="M43" s="17">
        <f>NE_4th!M15</f>
        <v>0</v>
      </c>
    </row>
    <row r="44" spans="1:13" x14ac:dyDescent="0.25">
      <c r="A44" s="83" t="s">
        <v>145</v>
      </c>
      <c r="B44" s="426">
        <f>NE_4th!B16</f>
        <v>4442</v>
      </c>
      <c r="C44" s="100">
        <f>NE_4th!C16</f>
        <v>66630000</v>
      </c>
      <c r="D44" s="426">
        <f>NE_4th!D16</f>
        <v>4227</v>
      </c>
      <c r="E44" s="100">
        <f>NE_4th!E16</f>
        <v>40468800</v>
      </c>
      <c r="F44" s="30">
        <f>NE_4th!F16</f>
        <v>150</v>
      </c>
      <c r="G44" s="618">
        <f>NE_4th!G16</f>
        <v>1500000</v>
      </c>
      <c r="H44" s="30">
        <f>NE_4th!H16</f>
        <v>141</v>
      </c>
      <c r="I44" s="618">
        <f>NE_4th!I16</f>
        <v>710000</v>
      </c>
      <c r="J44" s="617">
        <f>NE_4th!J16</f>
        <v>1200</v>
      </c>
      <c r="K44" s="17">
        <f>NE_4th!K16</f>
        <v>1872000</v>
      </c>
      <c r="L44" s="617">
        <f>NE_4th!L16</f>
        <v>1091</v>
      </c>
      <c r="M44" s="17">
        <f>NE_4th!M16</f>
        <v>1134640</v>
      </c>
    </row>
    <row r="45" spans="1:13" x14ac:dyDescent="0.25">
      <c r="A45" s="83" t="s">
        <v>146</v>
      </c>
      <c r="B45" s="426">
        <f>NE_4th!B17</f>
        <v>671</v>
      </c>
      <c r="C45" s="100">
        <f>NE_4th!C17</f>
        <v>10065000</v>
      </c>
      <c r="D45" s="426">
        <f>NE_4th!D17</f>
        <v>666</v>
      </c>
      <c r="E45" s="100">
        <f>NE_4th!E17</f>
        <v>7106100</v>
      </c>
      <c r="F45" s="30">
        <f>NE_4th!F17</f>
        <v>0</v>
      </c>
      <c r="G45" s="618">
        <f>NE_4th!G17</f>
        <v>0</v>
      </c>
      <c r="H45" s="30">
        <f>NE_4th!H17</f>
        <v>0</v>
      </c>
      <c r="I45" s="618">
        <f>NE_4th!I17</f>
        <v>0</v>
      </c>
      <c r="J45" s="617">
        <f>NE_4th!J17</f>
        <v>300</v>
      </c>
      <c r="K45" s="17">
        <f>NE_4th!K17</f>
        <v>468000</v>
      </c>
      <c r="L45" s="617">
        <f>NE_4th!L17</f>
        <v>446</v>
      </c>
      <c r="M45" s="17">
        <f>NE_4th!M17</f>
        <v>110162</v>
      </c>
    </row>
    <row r="46" spans="1:13" x14ac:dyDescent="0.25">
      <c r="A46" s="83" t="s">
        <v>147</v>
      </c>
      <c r="B46" s="426">
        <f>NE_4th!B18</f>
        <v>3195</v>
      </c>
      <c r="C46" s="100">
        <f>NE_4th!C18</f>
        <v>47925000</v>
      </c>
      <c r="D46" s="426">
        <f>NE_4th!D18</f>
        <v>3165</v>
      </c>
      <c r="E46" s="100">
        <f>NE_4th!E18</f>
        <v>32639900</v>
      </c>
      <c r="F46" s="30">
        <f>NE_4th!F18</f>
        <v>700</v>
      </c>
      <c r="G46" s="618">
        <f>NE_4th!G18</f>
        <v>7000000</v>
      </c>
      <c r="H46" s="30">
        <f>NE_4th!H18</f>
        <v>685</v>
      </c>
      <c r="I46" s="618">
        <f>NE_4th!I18</f>
        <v>3425000</v>
      </c>
      <c r="J46" s="617">
        <f>NE_4th!J18</f>
        <v>0</v>
      </c>
      <c r="K46" s="17">
        <f>NE_4th!K18</f>
        <v>0</v>
      </c>
      <c r="L46" s="617">
        <f>NE_4th!L18</f>
        <v>0</v>
      </c>
      <c r="M46" s="17">
        <f>NE_4th!M18</f>
        <v>0</v>
      </c>
    </row>
    <row r="47" spans="1:13" x14ac:dyDescent="0.25">
      <c r="A47" s="83" t="s">
        <v>148</v>
      </c>
      <c r="B47" s="426">
        <f>NE_4th!B19</f>
        <v>1613</v>
      </c>
      <c r="C47" s="100">
        <f>NE_4th!C19</f>
        <v>24195000</v>
      </c>
      <c r="D47" s="426">
        <f>NE_4th!D19</f>
        <v>1461</v>
      </c>
      <c r="E47" s="100">
        <f>NE_4th!E19</f>
        <v>15006400</v>
      </c>
      <c r="F47" s="30">
        <f>NE_4th!F19</f>
        <v>0</v>
      </c>
      <c r="G47" s="618">
        <f>NE_4th!G19</f>
        <v>0</v>
      </c>
      <c r="H47" s="30">
        <f>NE_4th!H19</f>
        <v>0</v>
      </c>
      <c r="I47" s="618">
        <f>NE_4th!I19</f>
        <v>0</v>
      </c>
      <c r="J47" s="617">
        <f>NE_4th!J19</f>
        <v>800</v>
      </c>
      <c r="K47" s="17">
        <f>NE_4th!K19</f>
        <v>1248000</v>
      </c>
      <c r="L47" s="617">
        <f>NE_4th!L19</f>
        <v>0</v>
      </c>
      <c r="M47" s="17">
        <f>NE_4th!M19</f>
        <v>0</v>
      </c>
    </row>
    <row r="48" spans="1:13" x14ac:dyDescent="0.25">
      <c r="A48" s="83" t="s">
        <v>149</v>
      </c>
      <c r="B48" s="426">
        <f>NE_4th!B20</f>
        <v>1995</v>
      </c>
      <c r="C48" s="100">
        <f>NE_4th!C20</f>
        <v>29925000</v>
      </c>
      <c r="D48" s="426">
        <f>NE_4th!D20</f>
        <v>1920</v>
      </c>
      <c r="E48" s="100">
        <f>NE_4th!E20</f>
        <v>19205500</v>
      </c>
      <c r="F48" s="30">
        <f>NE_4th!F20</f>
        <v>0</v>
      </c>
      <c r="G48" s="618">
        <f>NE_4th!G20</f>
        <v>0</v>
      </c>
      <c r="H48" s="30">
        <f>NE_4th!H20</f>
        <v>395</v>
      </c>
      <c r="I48" s="618">
        <f>NE_4th!I20</f>
        <v>1975000</v>
      </c>
      <c r="J48" s="617">
        <f>NE_4th!J20</f>
        <v>1300</v>
      </c>
      <c r="K48" s="17">
        <f>NE_4th!K20</f>
        <v>2028000</v>
      </c>
      <c r="L48" s="617">
        <f>NE_4th!L20</f>
        <v>1309</v>
      </c>
      <c r="M48" s="17">
        <f>NE_4th!M20</f>
        <v>2057748</v>
      </c>
    </row>
    <row r="49" spans="1:13" ht="15.75" x14ac:dyDescent="0.25">
      <c r="A49" s="540"/>
      <c r="B49" s="541"/>
      <c r="C49" s="542"/>
      <c r="D49" s="543"/>
      <c r="E49" s="544"/>
      <c r="F49" s="545"/>
      <c r="G49" s="546"/>
      <c r="H49" s="547"/>
      <c r="I49" s="548"/>
      <c r="J49" s="549"/>
      <c r="K49" s="544"/>
      <c r="L49" s="550"/>
      <c r="M49" s="551"/>
    </row>
    <row r="50" spans="1:13" s="48" customFormat="1" ht="20.25" customHeight="1" x14ac:dyDescent="0.25">
      <c r="A50" s="1007" t="s">
        <v>3</v>
      </c>
      <c r="B50" s="1008" t="s">
        <v>16</v>
      </c>
      <c r="C50" s="1009"/>
      <c r="D50" s="1009"/>
      <c r="E50" s="1010"/>
      <c r="F50" s="913" t="s">
        <v>421</v>
      </c>
      <c r="G50" s="914"/>
      <c r="H50" s="914"/>
      <c r="I50" s="915"/>
      <c r="J50" s="1008" t="s">
        <v>329</v>
      </c>
      <c r="K50" s="1009"/>
      <c r="L50" s="1009"/>
      <c r="M50" s="1010"/>
    </row>
    <row r="51" spans="1:13" ht="15.75" customHeight="1" x14ac:dyDescent="0.25">
      <c r="A51" s="1007"/>
      <c r="B51" s="1011" t="s">
        <v>327</v>
      </c>
      <c r="C51" s="1011"/>
      <c r="D51" s="1013" t="s">
        <v>333</v>
      </c>
      <c r="E51" s="1014"/>
      <c r="F51" s="1011" t="s">
        <v>327</v>
      </c>
      <c r="G51" s="1011"/>
      <c r="H51" s="1013" t="s">
        <v>333</v>
      </c>
      <c r="I51" s="1014"/>
      <c r="J51" s="1011" t="s">
        <v>327</v>
      </c>
      <c r="K51" s="1011"/>
      <c r="L51" s="1013" t="s">
        <v>333</v>
      </c>
      <c r="M51" s="1014"/>
    </row>
    <row r="52" spans="1:13" ht="45" customHeight="1" x14ac:dyDescent="0.25">
      <c r="A52" s="1007"/>
      <c r="B52" s="589" t="s">
        <v>330</v>
      </c>
      <c r="C52" s="521" t="s">
        <v>60</v>
      </c>
      <c r="D52" s="589" t="s">
        <v>330</v>
      </c>
      <c r="E52" s="366" t="s">
        <v>305</v>
      </c>
      <c r="F52" s="589" t="s">
        <v>253</v>
      </c>
      <c r="G52" s="588" t="s">
        <v>60</v>
      </c>
      <c r="H52" s="589" t="s">
        <v>253</v>
      </c>
      <c r="I52" s="521" t="s">
        <v>305</v>
      </c>
      <c r="J52" s="589" t="s">
        <v>310</v>
      </c>
      <c r="K52" s="521" t="s">
        <v>60</v>
      </c>
      <c r="L52" s="589" t="s">
        <v>310</v>
      </c>
      <c r="M52" s="366" t="s">
        <v>305</v>
      </c>
    </row>
    <row r="53" spans="1:13" s="605" customFormat="1" ht="18.600000000000001" customHeight="1" x14ac:dyDescent="0.25">
      <c r="A53" s="601" t="s">
        <v>14</v>
      </c>
      <c r="B53" s="602">
        <f>B54+B64+B73+B81+B90</f>
        <v>13074</v>
      </c>
      <c r="C53" s="604">
        <f>C54+C64+C73+C81+C90</f>
        <v>78444000</v>
      </c>
      <c r="D53" s="602">
        <f t="shared" ref="D53:M53" si="5">D54+D64+D73+D81+D90</f>
        <v>17494</v>
      </c>
      <c r="E53" s="604">
        <f t="shared" si="5"/>
        <v>104964000</v>
      </c>
      <c r="F53" s="602">
        <f t="shared" si="5"/>
        <v>39</v>
      </c>
      <c r="G53" s="604">
        <f t="shared" si="5"/>
        <v>52305914.869999997</v>
      </c>
      <c r="H53" s="602">
        <f t="shared" si="5"/>
        <v>0</v>
      </c>
      <c r="I53" s="604">
        <f t="shared" si="5"/>
        <v>0</v>
      </c>
      <c r="J53" s="602">
        <f t="shared" si="5"/>
        <v>0</v>
      </c>
      <c r="K53" s="604">
        <f t="shared" si="5"/>
        <v>0</v>
      </c>
      <c r="L53" s="602">
        <f t="shared" si="5"/>
        <v>9076</v>
      </c>
      <c r="M53" s="604">
        <f t="shared" si="5"/>
        <v>28880600</v>
      </c>
    </row>
    <row r="54" spans="1:13" ht="15.75" x14ac:dyDescent="0.25">
      <c r="A54" s="523" t="s">
        <v>278</v>
      </c>
      <c r="B54" s="524">
        <f t="shared" ref="B54:M54" si="6">SUM(B55:B63)</f>
        <v>3924</v>
      </c>
      <c r="C54" s="525">
        <f t="shared" si="6"/>
        <v>23544000</v>
      </c>
      <c r="D54" s="524">
        <f t="shared" si="6"/>
        <v>5444</v>
      </c>
      <c r="E54" s="525">
        <f t="shared" si="6"/>
        <v>32664000</v>
      </c>
      <c r="F54" s="524">
        <f t="shared" si="6"/>
        <v>13</v>
      </c>
      <c r="G54" s="525">
        <f t="shared" si="6"/>
        <v>10331498.539999999</v>
      </c>
      <c r="H54" s="524">
        <f t="shared" si="6"/>
        <v>0</v>
      </c>
      <c r="I54" s="525">
        <f t="shared" si="6"/>
        <v>0</v>
      </c>
      <c r="J54" s="524">
        <f t="shared" si="6"/>
        <v>0</v>
      </c>
      <c r="K54" s="525">
        <f t="shared" si="6"/>
        <v>0</v>
      </c>
      <c r="L54" s="526">
        <f t="shared" si="6"/>
        <v>2178</v>
      </c>
      <c r="M54" s="525">
        <f t="shared" si="6"/>
        <v>4909600</v>
      </c>
    </row>
    <row r="55" spans="1:13" ht="15.75" x14ac:dyDescent="0.25">
      <c r="A55" s="527" t="s">
        <v>118</v>
      </c>
      <c r="B55" s="369">
        <f>NE_1st!B27</f>
        <v>435</v>
      </c>
      <c r="C55" s="532">
        <f>NE_1st!C27</f>
        <v>2610000</v>
      </c>
      <c r="D55" s="369">
        <f>NE_1st!D27</f>
        <v>761</v>
      </c>
      <c r="E55" s="532">
        <f>NE_1st!E27</f>
        <v>4566000</v>
      </c>
      <c r="F55" s="625">
        <f>NE_1st!F27</f>
        <v>0</v>
      </c>
      <c r="G55" s="534">
        <f>NE_1st!G27</f>
        <v>0</v>
      </c>
      <c r="H55" s="625">
        <f>NE_1st!H27</f>
        <v>0</v>
      </c>
      <c r="I55" s="534">
        <f>NE_1st!I27</f>
        <v>0</v>
      </c>
      <c r="J55" s="536"/>
      <c r="K55" s="537"/>
      <c r="L55" s="533">
        <f>NE_1st!L27</f>
        <v>318</v>
      </c>
      <c r="M55" s="534">
        <f>NE_1st!M27</f>
        <v>730000</v>
      </c>
    </row>
    <row r="56" spans="1:13" ht="15.75" x14ac:dyDescent="0.25">
      <c r="A56" s="527" t="s">
        <v>119</v>
      </c>
      <c r="B56" s="369">
        <f>NE_1st!B28</f>
        <v>477</v>
      </c>
      <c r="C56" s="532">
        <f>NE_1st!C28</f>
        <v>2862000</v>
      </c>
      <c r="D56" s="369">
        <f>NE_1st!D28</f>
        <v>686</v>
      </c>
      <c r="E56" s="532">
        <f>NE_1st!E28</f>
        <v>4116000</v>
      </c>
      <c r="F56" s="625">
        <f>NE_1st!F28</f>
        <v>0</v>
      </c>
      <c r="G56" s="534">
        <f>NE_1st!G28</f>
        <v>0</v>
      </c>
      <c r="H56" s="625">
        <f>NE_1st!H28</f>
        <v>0</v>
      </c>
      <c r="I56" s="534">
        <f>NE_1st!I28</f>
        <v>0</v>
      </c>
      <c r="J56" s="536"/>
      <c r="K56" s="537"/>
      <c r="L56" s="533">
        <f>NE_1st!L28</f>
        <v>103</v>
      </c>
      <c r="M56" s="534">
        <f>NE_1st!M28</f>
        <v>242000</v>
      </c>
    </row>
    <row r="57" spans="1:13" ht="15.75" x14ac:dyDescent="0.25">
      <c r="A57" s="527" t="s">
        <v>120</v>
      </c>
      <c r="B57" s="369">
        <f>NE_1st!B29</f>
        <v>511</v>
      </c>
      <c r="C57" s="532">
        <f>NE_1st!C29</f>
        <v>3066000</v>
      </c>
      <c r="D57" s="369">
        <f>NE_1st!D29</f>
        <v>589</v>
      </c>
      <c r="E57" s="532">
        <f>NE_1st!E29</f>
        <v>3534000</v>
      </c>
      <c r="F57" s="625">
        <f>NE_1st!F29</f>
        <v>0</v>
      </c>
      <c r="G57" s="534">
        <f>NE_1st!G29</f>
        <v>0</v>
      </c>
      <c r="H57" s="625">
        <f>NE_1st!H29</f>
        <v>0</v>
      </c>
      <c r="I57" s="534">
        <f>NE_1st!I29</f>
        <v>0</v>
      </c>
      <c r="J57" s="536"/>
      <c r="K57" s="537"/>
      <c r="L57" s="533">
        <f>NE_1st!L29</f>
        <v>327</v>
      </c>
      <c r="M57" s="534">
        <f>NE_1st!M29</f>
        <v>627500</v>
      </c>
    </row>
    <row r="58" spans="1:13" ht="15.75" x14ac:dyDescent="0.25">
      <c r="A58" s="527" t="s">
        <v>121</v>
      </c>
      <c r="B58" s="369">
        <f>NE_1st!B30</f>
        <v>396</v>
      </c>
      <c r="C58" s="532">
        <f>NE_1st!C30</f>
        <v>2376000</v>
      </c>
      <c r="D58" s="369">
        <f>NE_1st!D30</f>
        <v>492</v>
      </c>
      <c r="E58" s="532">
        <f>NE_1st!E30</f>
        <v>2952000</v>
      </c>
      <c r="F58" s="625">
        <f>NE_1st!F30</f>
        <v>0</v>
      </c>
      <c r="G58" s="534">
        <f>NE_1st!G30</f>
        <v>0</v>
      </c>
      <c r="H58" s="625">
        <f>NE_1st!H30</f>
        <v>0</v>
      </c>
      <c r="I58" s="534">
        <f>NE_1st!I30</f>
        <v>0</v>
      </c>
      <c r="J58" s="536"/>
      <c r="K58" s="537"/>
      <c r="L58" s="533">
        <f>NE_1st!L30</f>
        <v>231</v>
      </c>
      <c r="M58" s="534">
        <f>NE_1st!M30</f>
        <v>365000</v>
      </c>
    </row>
    <row r="59" spans="1:13" ht="15.75" x14ac:dyDescent="0.25">
      <c r="A59" s="527" t="s">
        <v>122</v>
      </c>
      <c r="B59" s="369">
        <f>NE_1st!B31</f>
        <v>344</v>
      </c>
      <c r="C59" s="532">
        <f>NE_1st!C31</f>
        <v>2064000</v>
      </c>
      <c r="D59" s="369">
        <f>NE_1st!D31</f>
        <v>450</v>
      </c>
      <c r="E59" s="532">
        <f>NE_1st!E31</f>
        <v>2700000</v>
      </c>
      <c r="F59" s="625">
        <f>NE_1st!F31</f>
        <v>1</v>
      </c>
      <c r="G59" s="534">
        <f>NE_1st!G31</f>
        <v>500000</v>
      </c>
      <c r="H59" s="625">
        <f>NE_1st!H31</f>
        <v>0</v>
      </c>
      <c r="I59" s="534">
        <f>NE_1st!I31</f>
        <v>0</v>
      </c>
      <c r="J59" s="536"/>
      <c r="K59" s="537"/>
      <c r="L59" s="533">
        <f>NE_1st!L31</f>
        <v>25</v>
      </c>
      <c r="M59" s="534">
        <f>NE_1st!M31</f>
        <v>53500</v>
      </c>
    </row>
    <row r="60" spans="1:13" ht="15.75" x14ac:dyDescent="0.25">
      <c r="A60" s="527" t="s">
        <v>123</v>
      </c>
      <c r="B60" s="369">
        <f>NE_1st!B32</f>
        <v>383</v>
      </c>
      <c r="C60" s="532">
        <f>NE_1st!C32</f>
        <v>2298000</v>
      </c>
      <c r="D60" s="369">
        <f>NE_1st!D32</f>
        <v>515</v>
      </c>
      <c r="E60" s="532">
        <f>NE_1st!E32</f>
        <v>3090000</v>
      </c>
      <c r="F60" s="625">
        <f>NE_1st!F32</f>
        <v>2</v>
      </c>
      <c r="G60" s="534">
        <f>NE_1st!G32</f>
        <v>1684698.54</v>
      </c>
      <c r="H60" s="625">
        <f>NE_1st!H32</f>
        <v>0</v>
      </c>
      <c r="I60" s="534">
        <f>NE_1st!I32</f>
        <v>0</v>
      </c>
      <c r="J60" s="536"/>
      <c r="K60" s="537"/>
      <c r="L60" s="533">
        <f>NE_1st!L32</f>
        <v>171</v>
      </c>
      <c r="M60" s="534">
        <f>NE_1st!M32</f>
        <v>396000</v>
      </c>
    </row>
    <row r="61" spans="1:13" ht="15.75" x14ac:dyDescent="0.25">
      <c r="A61" s="527" t="s">
        <v>124</v>
      </c>
      <c r="B61" s="369">
        <f>NE_1st!B33</f>
        <v>406</v>
      </c>
      <c r="C61" s="532">
        <f>NE_1st!C33</f>
        <v>2436000</v>
      </c>
      <c r="D61" s="369">
        <f>NE_1st!D33</f>
        <v>502</v>
      </c>
      <c r="E61" s="532">
        <f>NE_1st!E33</f>
        <v>3012000</v>
      </c>
      <c r="F61" s="625">
        <f>NE_1st!F33</f>
        <v>3</v>
      </c>
      <c r="G61" s="534">
        <f>NE_1st!G33</f>
        <v>2746800</v>
      </c>
      <c r="H61" s="625">
        <f>NE_1st!H33</f>
        <v>0</v>
      </c>
      <c r="I61" s="534">
        <f>NE_1st!I33</f>
        <v>0</v>
      </c>
      <c r="J61" s="536"/>
      <c r="K61" s="537"/>
      <c r="L61" s="533">
        <f>NE_1st!L33</f>
        <v>341</v>
      </c>
      <c r="M61" s="534">
        <f>NE_1st!M33</f>
        <v>741500</v>
      </c>
    </row>
    <row r="62" spans="1:13" ht="15.75" x14ac:dyDescent="0.25">
      <c r="A62" s="527" t="s">
        <v>125</v>
      </c>
      <c r="B62" s="369">
        <f>NE_1st!B34</f>
        <v>589</v>
      </c>
      <c r="C62" s="532">
        <f>NE_1st!C34</f>
        <v>3534000</v>
      </c>
      <c r="D62" s="369">
        <f>NE_1st!D34</f>
        <v>915</v>
      </c>
      <c r="E62" s="532">
        <f>NE_1st!E34</f>
        <v>5490000</v>
      </c>
      <c r="F62" s="625">
        <f>NE_1st!F34</f>
        <v>4</v>
      </c>
      <c r="G62" s="534">
        <f>NE_1st!G34</f>
        <v>2400000</v>
      </c>
      <c r="H62" s="625">
        <f>NE_1st!H34</f>
        <v>0</v>
      </c>
      <c r="I62" s="534">
        <f>NE_1st!I34</f>
        <v>0</v>
      </c>
      <c r="J62" s="536"/>
      <c r="K62" s="537"/>
      <c r="L62" s="533">
        <f>NE_1st!L34</f>
        <v>486</v>
      </c>
      <c r="M62" s="534">
        <f>NE_1st!M34</f>
        <v>1329100</v>
      </c>
    </row>
    <row r="63" spans="1:13" ht="15.75" x14ac:dyDescent="0.25">
      <c r="A63" s="527" t="s">
        <v>126</v>
      </c>
      <c r="B63" s="369">
        <f>NE_1st!B35</f>
        <v>383</v>
      </c>
      <c r="C63" s="532">
        <f>NE_1st!C35</f>
        <v>2298000</v>
      </c>
      <c r="D63" s="369">
        <f>NE_1st!D35</f>
        <v>534</v>
      </c>
      <c r="E63" s="532">
        <f>NE_1st!E35</f>
        <v>3204000</v>
      </c>
      <c r="F63" s="625">
        <f>NE_1st!F35</f>
        <v>3</v>
      </c>
      <c r="G63" s="534">
        <f>NE_1st!G35</f>
        <v>3000000</v>
      </c>
      <c r="H63" s="625">
        <f>NE_1st!H35</f>
        <v>0</v>
      </c>
      <c r="I63" s="534">
        <f>NE_1st!I35</f>
        <v>0</v>
      </c>
      <c r="J63" s="536"/>
      <c r="K63" s="537"/>
      <c r="L63" s="533">
        <f>NE_1st!L35</f>
        <v>176</v>
      </c>
      <c r="M63" s="534">
        <f>NE_1st!M35</f>
        <v>425000</v>
      </c>
    </row>
    <row r="64" spans="1:13" x14ac:dyDescent="0.25">
      <c r="A64" s="349" t="s">
        <v>397</v>
      </c>
      <c r="B64" s="477">
        <f t="shared" ref="B64:M64" si="7">SUM(B65:B72)</f>
        <v>3346</v>
      </c>
      <c r="C64" s="351">
        <f t="shared" si="7"/>
        <v>20076000</v>
      </c>
      <c r="D64" s="477">
        <f t="shared" si="7"/>
        <v>4133</v>
      </c>
      <c r="E64" s="351">
        <f t="shared" si="7"/>
        <v>24798000</v>
      </c>
      <c r="F64" s="477">
        <f t="shared" si="7"/>
        <v>17</v>
      </c>
      <c r="G64" s="351">
        <f t="shared" si="7"/>
        <v>23454077.829999998</v>
      </c>
      <c r="H64" s="477">
        <f t="shared" si="7"/>
        <v>0</v>
      </c>
      <c r="I64" s="351">
        <f t="shared" si="7"/>
        <v>0</v>
      </c>
      <c r="J64" s="477">
        <f t="shared" si="7"/>
        <v>0</v>
      </c>
      <c r="K64" s="351">
        <f t="shared" si="7"/>
        <v>0</v>
      </c>
      <c r="L64" s="350">
        <f t="shared" si="7"/>
        <v>1582</v>
      </c>
      <c r="M64" s="351">
        <f t="shared" si="7"/>
        <v>4275500</v>
      </c>
    </row>
    <row r="65" spans="1:13" x14ac:dyDescent="0.25">
      <c r="A65" s="83" t="s">
        <v>127</v>
      </c>
      <c r="B65" s="30">
        <f>NE_2nd!B26</f>
        <v>381</v>
      </c>
      <c r="C65" s="53">
        <f>NE_2nd!C26</f>
        <v>2286000</v>
      </c>
      <c r="D65" s="30">
        <f>NE_2nd!D26</f>
        <v>489</v>
      </c>
      <c r="E65" s="53">
        <f>NE_2nd!E26</f>
        <v>2934000</v>
      </c>
      <c r="F65" s="260">
        <f>NE_2nd!F26</f>
        <v>1</v>
      </c>
      <c r="G65" s="284">
        <f>NE_2nd!G26</f>
        <v>1000000</v>
      </c>
      <c r="H65" s="260">
        <f>NE_2nd!H26</f>
        <v>0</v>
      </c>
      <c r="I65" s="284">
        <f>NE_2nd!I26</f>
        <v>0</v>
      </c>
      <c r="J65" s="478"/>
      <c r="K65" s="386"/>
      <c r="L65" s="345">
        <f>NE_2nd!L26</f>
        <v>270</v>
      </c>
      <c r="M65" s="344">
        <f>NE_2nd!M26</f>
        <v>781000</v>
      </c>
    </row>
    <row r="66" spans="1:13" x14ac:dyDescent="0.25">
      <c r="A66" s="83" t="s">
        <v>128</v>
      </c>
      <c r="B66" s="30">
        <f>NE_2nd!B27</f>
        <v>375</v>
      </c>
      <c r="C66" s="53">
        <f>NE_2nd!C27</f>
        <v>2250000</v>
      </c>
      <c r="D66" s="30">
        <f>NE_2nd!D27</f>
        <v>429</v>
      </c>
      <c r="E66" s="53">
        <f>NE_2nd!E27</f>
        <v>2574000</v>
      </c>
      <c r="F66" s="260">
        <f>NE_2nd!F27</f>
        <v>3</v>
      </c>
      <c r="G66" s="284">
        <f>NE_2nd!G27</f>
        <v>4720000</v>
      </c>
      <c r="H66" s="260">
        <f>NE_2nd!H27</f>
        <v>0</v>
      </c>
      <c r="I66" s="284">
        <f>NE_2nd!I27</f>
        <v>0</v>
      </c>
      <c r="J66" s="478"/>
      <c r="K66" s="386"/>
      <c r="L66" s="345">
        <f>NE_2nd!L27</f>
        <v>155</v>
      </c>
      <c r="M66" s="344">
        <f>NE_2nd!M27</f>
        <v>400000</v>
      </c>
    </row>
    <row r="67" spans="1:13" x14ac:dyDescent="0.25">
      <c r="A67" s="83" t="s">
        <v>129</v>
      </c>
      <c r="B67" s="30">
        <f>NE_2nd!B28</f>
        <v>375</v>
      </c>
      <c r="C67" s="53">
        <f>NE_2nd!C28</f>
        <v>2250000</v>
      </c>
      <c r="D67" s="30">
        <f>NE_2nd!D28</f>
        <v>454</v>
      </c>
      <c r="E67" s="53">
        <f>NE_2nd!E28</f>
        <v>2724000</v>
      </c>
      <c r="F67" s="260">
        <f>NE_2nd!F28</f>
        <v>1</v>
      </c>
      <c r="G67" s="284">
        <f>NE_2nd!G28</f>
        <v>1304347.83</v>
      </c>
      <c r="H67" s="260">
        <f>NE_2nd!H28</f>
        <v>0</v>
      </c>
      <c r="I67" s="284">
        <f>NE_2nd!I28</f>
        <v>0</v>
      </c>
      <c r="J67" s="478"/>
      <c r="K67" s="386"/>
      <c r="L67" s="345">
        <f>NE_2nd!L28</f>
        <v>104</v>
      </c>
      <c r="M67" s="344">
        <f>NE_2nd!M28</f>
        <v>259000</v>
      </c>
    </row>
    <row r="68" spans="1:13" x14ac:dyDescent="0.25">
      <c r="A68" s="83" t="s">
        <v>130</v>
      </c>
      <c r="B68" s="30">
        <f>NE_2nd!B29</f>
        <v>639</v>
      </c>
      <c r="C68" s="53">
        <f>NE_2nd!C29</f>
        <v>3834000</v>
      </c>
      <c r="D68" s="30">
        <f>NE_2nd!D29</f>
        <v>815</v>
      </c>
      <c r="E68" s="53">
        <f>NE_2nd!E29</f>
        <v>4890000</v>
      </c>
      <c r="F68" s="260">
        <f>NE_2nd!F29</f>
        <v>3</v>
      </c>
      <c r="G68" s="284">
        <f>NE_2nd!G29</f>
        <v>4600000</v>
      </c>
      <c r="H68" s="260">
        <f>NE_2nd!H29</f>
        <v>0</v>
      </c>
      <c r="I68" s="284">
        <f>NE_2nd!I29</f>
        <v>0</v>
      </c>
      <c r="J68" s="478"/>
      <c r="K68" s="386"/>
      <c r="L68" s="345">
        <f>NE_2nd!L29</f>
        <v>111</v>
      </c>
      <c r="M68" s="344">
        <f>NE_2nd!M29</f>
        <v>347000</v>
      </c>
    </row>
    <row r="69" spans="1:13" x14ac:dyDescent="0.25">
      <c r="A69" s="83" t="s">
        <v>131</v>
      </c>
      <c r="B69" s="30">
        <f>NE_2nd!B30</f>
        <v>320</v>
      </c>
      <c r="C69" s="53">
        <f>NE_2nd!C30</f>
        <v>1920000</v>
      </c>
      <c r="D69" s="30">
        <f>NE_2nd!D30</f>
        <v>289</v>
      </c>
      <c r="E69" s="53">
        <f>NE_2nd!E30</f>
        <v>1734000</v>
      </c>
      <c r="F69" s="260">
        <f>NE_2nd!F30</f>
        <v>2</v>
      </c>
      <c r="G69" s="284">
        <f>NE_2nd!G30</f>
        <v>2819730</v>
      </c>
      <c r="H69" s="260">
        <f>NE_2nd!H30</f>
        <v>0</v>
      </c>
      <c r="I69" s="284">
        <f>NE_2nd!I30</f>
        <v>0</v>
      </c>
      <c r="J69" s="478"/>
      <c r="K69" s="386"/>
      <c r="L69" s="345">
        <f>NE_2nd!L30</f>
        <v>354</v>
      </c>
      <c r="M69" s="344">
        <f>NE_2nd!M30</f>
        <v>954500</v>
      </c>
    </row>
    <row r="70" spans="1:13" x14ac:dyDescent="0.25">
      <c r="A70" s="83" t="s">
        <v>132</v>
      </c>
      <c r="B70" s="30">
        <f>NE_2nd!B31</f>
        <v>366</v>
      </c>
      <c r="C70" s="53">
        <f>NE_2nd!C31</f>
        <v>2196000</v>
      </c>
      <c r="D70" s="30">
        <f>NE_2nd!D31</f>
        <v>540</v>
      </c>
      <c r="E70" s="53">
        <f>NE_2nd!E31</f>
        <v>3240000</v>
      </c>
      <c r="F70" s="260">
        <f>NE_2nd!F31</f>
        <v>2</v>
      </c>
      <c r="G70" s="284">
        <f>NE_2nd!G31</f>
        <v>3000000</v>
      </c>
      <c r="H70" s="260">
        <f>NE_2nd!H31</f>
        <v>0</v>
      </c>
      <c r="I70" s="284">
        <f>NE_2nd!I31</f>
        <v>0</v>
      </c>
      <c r="J70" s="478"/>
      <c r="K70" s="386"/>
      <c r="L70" s="345">
        <f>NE_2nd!L31</f>
        <v>221</v>
      </c>
      <c r="M70" s="344">
        <f>NE_2nd!M31</f>
        <v>627500</v>
      </c>
    </row>
    <row r="71" spans="1:13" ht="30" x14ac:dyDescent="0.25">
      <c r="A71" s="83" t="s">
        <v>133</v>
      </c>
      <c r="B71" s="30">
        <f>NE_2nd!B32</f>
        <v>467</v>
      </c>
      <c r="C71" s="53">
        <f>NE_2nd!C32</f>
        <v>2802000</v>
      </c>
      <c r="D71" s="30">
        <f>NE_2nd!D32</f>
        <v>559</v>
      </c>
      <c r="E71" s="53">
        <f>NE_2nd!E32</f>
        <v>3354000</v>
      </c>
      <c r="F71" s="260">
        <f>NE_2nd!F32</f>
        <v>3</v>
      </c>
      <c r="G71" s="284">
        <f>NE_2nd!G32</f>
        <v>4160000</v>
      </c>
      <c r="H71" s="260">
        <f>NE_2nd!H32</f>
        <v>0</v>
      </c>
      <c r="I71" s="284">
        <f>NE_2nd!I32</f>
        <v>0</v>
      </c>
      <c r="J71" s="478"/>
      <c r="K71" s="386"/>
      <c r="L71" s="345">
        <f>NE_2nd!L32</f>
        <v>274</v>
      </c>
      <c r="M71" s="344">
        <f>NE_2nd!M32</f>
        <v>646500</v>
      </c>
    </row>
    <row r="72" spans="1:13" x14ac:dyDescent="0.25">
      <c r="A72" s="83" t="s">
        <v>134</v>
      </c>
      <c r="B72" s="30">
        <f>NE_2nd!B33</f>
        <v>423</v>
      </c>
      <c r="C72" s="53">
        <f>NE_2nd!C33</f>
        <v>2538000</v>
      </c>
      <c r="D72" s="30">
        <f>NE_2nd!D33</f>
        <v>558</v>
      </c>
      <c r="E72" s="53">
        <f>NE_2nd!E33</f>
        <v>3348000</v>
      </c>
      <c r="F72" s="260">
        <f>NE_2nd!F33</f>
        <v>2</v>
      </c>
      <c r="G72" s="284">
        <f>NE_2nd!G33</f>
        <v>1850000</v>
      </c>
      <c r="H72" s="260">
        <f>NE_2nd!H33</f>
        <v>0</v>
      </c>
      <c r="I72" s="284">
        <f>NE_2nd!I33</f>
        <v>0</v>
      </c>
      <c r="J72" s="478"/>
      <c r="K72" s="386"/>
      <c r="L72" s="345">
        <f>NE_2nd!L33</f>
        <v>93</v>
      </c>
      <c r="M72" s="344">
        <f>NE_2nd!M33</f>
        <v>260000</v>
      </c>
    </row>
    <row r="73" spans="1:13" x14ac:dyDescent="0.25">
      <c r="A73" s="349" t="s">
        <v>406</v>
      </c>
      <c r="B73" s="477">
        <f t="shared" ref="B73:M73" si="8">SUM(B74:B80)</f>
        <v>2747</v>
      </c>
      <c r="C73" s="351">
        <f t="shared" si="8"/>
        <v>16482000</v>
      </c>
      <c r="D73" s="477">
        <f t="shared" si="8"/>
        <v>3696</v>
      </c>
      <c r="E73" s="351">
        <f t="shared" si="8"/>
        <v>22176000</v>
      </c>
      <c r="F73" s="477">
        <f t="shared" si="8"/>
        <v>9</v>
      </c>
      <c r="G73" s="351">
        <f t="shared" si="8"/>
        <v>18520338.5</v>
      </c>
      <c r="H73" s="477">
        <f t="shared" si="8"/>
        <v>0</v>
      </c>
      <c r="I73" s="351">
        <f t="shared" si="8"/>
        <v>0</v>
      </c>
      <c r="J73" s="477">
        <f t="shared" si="8"/>
        <v>0</v>
      </c>
      <c r="K73" s="351">
        <f t="shared" si="8"/>
        <v>0</v>
      </c>
      <c r="L73" s="350">
        <f t="shared" si="8"/>
        <v>879</v>
      </c>
      <c r="M73" s="351">
        <f t="shared" si="8"/>
        <v>2499500</v>
      </c>
    </row>
    <row r="74" spans="1:13" x14ac:dyDescent="0.25">
      <c r="A74" s="83" t="s">
        <v>135</v>
      </c>
      <c r="B74" s="30">
        <f>NE_3rd!B25</f>
        <v>375</v>
      </c>
      <c r="C74" s="53">
        <f>NE_3rd!C25</f>
        <v>2250000</v>
      </c>
      <c r="D74" s="30">
        <f>NE_3rd!D25</f>
        <v>787</v>
      </c>
      <c r="E74" s="53">
        <f>NE_3rd!E25</f>
        <v>4722000</v>
      </c>
      <c r="F74" s="619">
        <f>NE_3rd!F25</f>
        <v>2</v>
      </c>
      <c r="G74" s="344">
        <f>NE_3rd!G25</f>
        <v>2200000</v>
      </c>
      <c r="H74" s="619">
        <f>NE_3rd!H25</f>
        <v>0</v>
      </c>
      <c r="I74" s="344">
        <f>NE_3rd!I25</f>
        <v>0</v>
      </c>
      <c r="J74" s="478"/>
      <c r="K74" s="386"/>
      <c r="L74" s="345">
        <f>NE_3rd!L25</f>
        <v>5</v>
      </c>
      <c r="M74" s="344">
        <f>NE_3rd!M25</f>
        <v>11000</v>
      </c>
    </row>
    <row r="75" spans="1:13" x14ac:dyDescent="0.25">
      <c r="A75" s="83" t="s">
        <v>136</v>
      </c>
      <c r="B75" s="30">
        <f>NE_3rd!B26</f>
        <v>601</v>
      </c>
      <c r="C75" s="53">
        <f>NE_3rd!C26</f>
        <v>3606000</v>
      </c>
      <c r="D75" s="30">
        <f>NE_3rd!D26</f>
        <v>798</v>
      </c>
      <c r="E75" s="53">
        <f>NE_3rd!E26</f>
        <v>4788000</v>
      </c>
      <c r="F75" s="619">
        <f>NE_3rd!F26</f>
        <v>3</v>
      </c>
      <c r="G75" s="344">
        <f>NE_3rd!G26</f>
        <v>8816906</v>
      </c>
      <c r="H75" s="619">
        <f>NE_3rd!H26</f>
        <v>0</v>
      </c>
      <c r="I75" s="344">
        <f>NE_3rd!I26</f>
        <v>0</v>
      </c>
      <c r="J75" s="478"/>
      <c r="K75" s="386"/>
      <c r="L75" s="345">
        <f>NE_3rd!L26</f>
        <v>665</v>
      </c>
      <c r="M75" s="344">
        <f>NE_3rd!M26</f>
        <v>1896000</v>
      </c>
    </row>
    <row r="76" spans="1:13" x14ac:dyDescent="0.25">
      <c r="A76" s="83" t="s">
        <v>137</v>
      </c>
      <c r="B76" s="30">
        <f>NE_3rd!B27</f>
        <v>381</v>
      </c>
      <c r="C76" s="53">
        <f>NE_3rd!C27</f>
        <v>2286000</v>
      </c>
      <c r="D76" s="30">
        <f>NE_3rd!D27</f>
        <v>474</v>
      </c>
      <c r="E76" s="53">
        <f>NE_3rd!E27</f>
        <v>2844000</v>
      </c>
      <c r="F76" s="619">
        <f>NE_3rd!F27</f>
        <v>0</v>
      </c>
      <c r="G76" s="344">
        <f>NE_3rd!G27</f>
        <v>0</v>
      </c>
      <c r="H76" s="619">
        <f>NE_3rd!H27</f>
        <v>0</v>
      </c>
      <c r="I76" s="344">
        <f>NE_3rd!I27</f>
        <v>0</v>
      </c>
      <c r="J76" s="478"/>
      <c r="K76" s="386"/>
      <c r="L76" s="345">
        <f>NE_3rd!L27</f>
        <v>2</v>
      </c>
      <c r="M76" s="344">
        <f>NE_3rd!M27</f>
        <v>5500</v>
      </c>
    </row>
    <row r="77" spans="1:13" x14ac:dyDescent="0.25">
      <c r="A77" s="83" t="s">
        <v>138</v>
      </c>
      <c r="B77" s="30">
        <f>NE_3rd!B28</f>
        <v>373</v>
      </c>
      <c r="C77" s="53">
        <f>NE_3rd!C28</f>
        <v>2238000</v>
      </c>
      <c r="D77" s="30">
        <f>NE_3rd!D28</f>
        <v>189</v>
      </c>
      <c r="E77" s="53">
        <f>NE_3rd!E28</f>
        <v>1134000</v>
      </c>
      <c r="F77" s="619">
        <f>NE_3rd!F28</f>
        <v>1</v>
      </c>
      <c r="G77" s="344">
        <f>NE_3rd!G28</f>
        <v>1000000</v>
      </c>
      <c r="H77" s="619">
        <f>NE_3rd!H28</f>
        <v>0</v>
      </c>
      <c r="I77" s="344">
        <f>NE_3rd!I28</f>
        <v>0</v>
      </c>
      <c r="J77" s="478"/>
      <c r="K77" s="386"/>
      <c r="L77" s="345">
        <f>NE_3rd!L28</f>
        <v>89</v>
      </c>
      <c r="M77" s="344">
        <f>NE_3rd!M28</f>
        <v>253500</v>
      </c>
    </row>
    <row r="78" spans="1:13" x14ac:dyDescent="0.25">
      <c r="A78" s="83" t="s">
        <v>139</v>
      </c>
      <c r="B78" s="30">
        <f>NE_3rd!B29</f>
        <v>337</v>
      </c>
      <c r="C78" s="53">
        <f>NE_3rd!C29</f>
        <v>2022000</v>
      </c>
      <c r="D78" s="30">
        <f>NE_3rd!D29</f>
        <v>422</v>
      </c>
      <c r="E78" s="53">
        <f>NE_3rd!E29</f>
        <v>2532000</v>
      </c>
      <c r="F78" s="619">
        <f>NE_3rd!F29</f>
        <v>1</v>
      </c>
      <c r="G78" s="344">
        <f>NE_3rd!G29</f>
        <v>3003432.5</v>
      </c>
      <c r="H78" s="619">
        <f>NE_3rd!H29</f>
        <v>0</v>
      </c>
      <c r="I78" s="344">
        <f>NE_3rd!I29</f>
        <v>0</v>
      </c>
      <c r="J78" s="478"/>
      <c r="K78" s="386"/>
      <c r="L78" s="345">
        <f>NE_3rd!L29</f>
        <v>59</v>
      </c>
      <c r="M78" s="344">
        <f>NE_3rd!M29</f>
        <v>149500</v>
      </c>
    </row>
    <row r="79" spans="1:13" x14ac:dyDescent="0.25">
      <c r="A79" s="83" t="s">
        <v>140</v>
      </c>
      <c r="B79" s="30">
        <f>NE_3rd!B30</f>
        <v>350</v>
      </c>
      <c r="C79" s="53">
        <f>NE_3rd!C30</f>
        <v>2100000</v>
      </c>
      <c r="D79" s="30">
        <f>NE_3rd!D30</f>
        <v>537</v>
      </c>
      <c r="E79" s="53">
        <f>NE_3rd!E30</f>
        <v>3222000</v>
      </c>
      <c r="F79" s="619">
        <f>NE_3rd!F30</f>
        <v>0</v>
      </c>
      <c r="G79" s="344">
        <f>NE_3rd!G30</f>
        <v>0</v>
      </c>
      <c r="H79" s="619">
        <f>NE_3rd!H30</f>
        <v>0</v>
      </c>
      <c r="I79" s="344">
        <f>NE_3rd!I30</f>
        <v>0</v>
      </c>
      <c r="J79" s="478"/>
      <c r="K79" s="386"/>
      <c r="L79" s="345">
        <f>NE_3rd!L30</f>
        <v>41</v>
      </c>
      <c r="M79" s="344">
        <f>NE_3rd!M30</f>
        <v>135500</v>
      </c>
    </row>
    <row r="80" spans="1:13" x14ac:dyDescent="0.25">
      <c r="A80" s="83" t="s">
        <v>141</v>
      </c>
      <c r="B80" s="30">
        <f>NE_3rd!B31</f>
        <v>330</v>
      </c>
      <c r="C80" s="53">
        <f>NE_3rd!C31</f>
        <v>1980000</v>
      </c>
      <c r="D80" s="30">
        <f>NE_3rd!D31</f>
        <v>489</v>
      </c>
      <c r="E80" s="53">
        <f>NE_3rd!E31</f>
        <v>2934000</v>
      </c>
      <c r="F80" s="619">
        <f>NE_3rd!F31</f>
        <v>2</v>
      </c>
      <c r="G80" s="344">
        <f>NE_3rd!G31</f>
        <v>3500000</v>
      </c>
      <c r="H80" s="619">
        <f>NE_3rd!H31</f>
        <v>0</v>
      </c>
      <c r="I80" s="344">
        <f>NE_3rd!I31</f>
        <v>0</v>
      </c>
      <c r="J80" s="478"/>
      <c r="K80" s="386"/>
      <c r="L80" s="345">
        <f>NE_3rd!L31</f>
        <v>18</v>
      </c>
      <c r="M80" s="344">
        <f>NE_3rd!M31</f>
        <v>48500</v>
      </c>
    </row>
    <row r="81" spans="1:18" ht="15.75" x14ac:dyDescent="0.25">
      <c r="A81" s="349" t="s">
        <v>399</v>
      </c>
      <c r="B81" s="477">
        <f t="shared" ref="B81:I81" si="9">SUM(B82:B89)</f>
        <v>3057</v>
      </c>
      <c r="C81" s="351">
        <f t="shared" si="9"/>
        <v>18342000</v>
      </c>
      <c r="D81" s="477">
        <f t="shared" si="9"/>
        <v>4221</v>
      </c>
      <c r="E81" s="351">
        <f t="shared" si="9"/>
        <v>25326000</v>
      </c>
      <c r="F81" s="477">
        <f t="shared" si="9"/>
        <v>0</v>
      </c>
      <c r="G81" s="351">
        <f t="shared" si="9"/>
        <v>0</v>
      </c>
      <c r="H81" s="477">
        <f t="shared" si="9"/>
        <v>0</v>
      </c>
      <c r="I81" s="351">
        <f t="shared" si="9"/>
        <v>0</v>
      </c>
      <c r="J81" s="477">
        <f t="shared" ref="J81:M81" si="10">SUM(J82:J89)</f>
        <v>0</v>
      </c>
      <c r="K81" s="351">
        <f t="shared" si="10"/>
        <v>0</v>
      </c>
      <c r="L81" s="350">
        <f t="shared" si="10"/>
        <v>4437</v>
      </c>
      <c r="M81" s="351">
        <f t="shared" si="10"/>
        <v>17196000</v>
      </c>
      <c r="N81" s="548"/>
      <c r="O81" s="555"/>
      <c r="P81" s="556"/>
      <c r="Q81" s="550"/>
      <c r="R81" s="551"/>
    </row>
    <row r="82" spans="1:18" ht="15.75" x14ac:dyDescent="0.25">
      <c r="A82" s="83" t="s">
        <v>142</v>
      </c>
      <c r="B82" s="30">
        <f>NE_4th!B26</f>
        <v>438</v>
      </c>
      <c r="C82" s="53">
        <f>NE_4th!C26</f>
        <v>2628000</v>
      </c>
      <c r="D82" s="30">
        <f>NE_4th!D26</f>
        <v>632</v>
      </c>
      <c r="E82" s="53">
        <f>NE_4th!E26</f>
        <v>3792000</v>
      </c>
      <c r="F82" s="30"/>
      <c r="G82" s="53"/>
      <c r="H82" s="581"/>
      <c r="I82" s="17"/>
      <c r="J82" s="478"/>
      <c r="K82" s="386"/>
      <c r="L82" s="345">
        <f>NE_4th!L26</f>
        <v>536</v>
      </c>
      <c r="M82" s="344">
        <f>NE_4th!M26</f>
        <v>1106000</v>
      </c>
      <c r="N82" s="548"/>
      <c r="O82" s="555"/>
      <c r="P82" s="556"/>
      <c r="Q82" s="550"/>
      <c r="R82" s="551"/>
    </row>
    <row r="83" spans="1:18" ht="15.75" x14ac:dyDescent="0.25">
      <c r="A83" s="83" t="s">
        <v>143</v>
      </c>
      <c r="B83" s="30">
        <f>NE_4th!B27</f>
        <v>354</v>
      </c>
      <c r="C83" s="53">
        <f>NE_4th!C27</f>
        <v>2124000</v>
      </c>
      <c r="D83" s="30">
        <f>NE_4th!D27</f>
        <v>562</v>
      </c>
      <c r="E83" s="53">
        <f>NE_4th!E27</f>
        <v>3372000</v>
      </c>
      <c r="F83" s="30"/>
      <c r="G83" s="53"/>
      <c r="H83" s="581"/>
      <c r="I83" s="17"/>
      <c r="J83" s="478"/>
      <c r="K83" s="386"/>
      <c r="L83" s="345">
        <f>NE_4th!L27</f>
        <v>687</v>
      </c>
      <c r="M83" s="344">
        <f>NE_4th!M27</f>
        <v>1375000</v>
      </c>
      <c r="N83" s="548"/>
      <c r="O83" s="555"/>
      <c r="P83" s="556"/>
      <c r="Q83" s="550"/>
      <c r="R83" s="551"/>
    </row>
    <row r="84" spans="1:18" ht="15.75" x14ac:dyDescent="0.25">
      <c r="A84" s="83" t="s">
        <v>144</v>
      </c>
      <c r="B84" s="30">
        <f>NE_4th!B28</f>
        <v>346</v>
      </c>
      <c r="C84" s="53">
        <f>NE_4th!C28</f>
        <v>2076000</v>
      </c>
      <c r="D84" s="30">
        <f>NE_4th!D28</f>
        <v>549</v>
      </c>
      <c r="E84" s="53">
        <f>NE_4th!E28</f>
        <v>3294000</v>
      </c>
      <c r="F84" s="30"/>
      <c r="G84" s="53"/>
      <c r="H84" s="581"/>
      <c r="I84" s="17"/>
      <c r="J84" s="478"/>
      <c r="K84" s="386"/>
      <c r="L84" s="345">
        <f>NE_4th!L28</f>
        <v>582</v>
      </c>
      <c r="M84" s="344">
        <f>NE_4th!M28</f>
        <v>1388000</v>
      </c>
      <c r="N84" s="548"/>
      <c r="O84" s="555"/>
      <c r="P84" s="556"/>
      <c r="Q84" s="550"/>
      <c r="R84" s="551"/>
    </row>
    <row r="85" spans="1:18" ht="15.75" x14ac:dyDescent="0.25">
      <c r="A85" s="83" t="s">
        <v>145</v>
      </c>
      <c r="B85" s="30">
        <f>NE_4th!B29</f>
        <v>488</v>
      </c>
      <c r="C85" s="53">
        <f>NE_4th!C29</f>
        <v>2928000</v>
      </c>
      <c r="D85" s="30">
        <f>NE_4th!D29</f>
        <v>694</v>
      </c>
      <c r="E85" s="53">
        <f>NE_4th!E29</f>
        <v>4164000</v>
      </c>
      <c r="F85" s="30"/>
      <c r="G85" s="53"/>
      <c r="H85" s="581"/>
      <c r="I85" s="17"/>
      <c r="J85" s="478"/>
      <c r="K85" s="386"/>
      <c r="L85" s="345">
        <f>NE_4th!L29</f>
        <v>857</v>
      </c>
      <c r="M85" s="344">
        <f>NE_4th!M29</f>
        <v>1649500</v>
      </c>
      <c r="N85" s="548"/>
      <c r="O85" s="555"/>
      <c r="P85" s="556"/>
      <c r="Q85" s="550"/>
      <c r="R85" s="551"/>
    </row>
    <row r="86" spans="1:18" ht="15.75" x14ac:dyDescent="0.25">
      <c r="A86" s="83" t="s">
        <v>146</v>
      </c>
      <c r="B86" s="30">
        <f>NE_4th!B30</f>
        <v>322</v>
      </c>
      <c r="C86" s="53">
        <f>NE_4th!C30</f>
        <v>1932000</v>
      </c>
      <c r="D86" s="30">
        <f>NE_4th!D30</f>
        <v>356</v>
      </c>
      <c r="E86" s="53">
        <f>NE_4th!E30</f>
        <v>2136000</v>
      </c>
      <c r="F86" s="30"/>
      <c r="G86" s="53"/>
      <c r="H86" s="581"/>
      <c r="I86" s="17"/>
      <c r="J86" s="478"/>
      <c r="K86" s="386"/>
      <c r="L86" s="345">
        <f>NE_4th!L30</f>
        <v>376</v>
      </c>
      <c r="M86" s="344">
        <f>NE_4th!M30</f>
        <v>8874500</v>
      </c>
      <c r="N86" s="548"/>
      <c r="O86" s="555"/>
      <c r="P86" s="556"/>
      <c r="Q86" s="550"/>
      <c r="R86" s="551"/>
    </row>
    <row r="87" spans="1:18" ht="15.75" x14ac:dyDescent="0.25">
      <c r="A87" s="83" t="s">
        <v>147</v>
      </c>
      <c r="B87" s="30">
        <f>NE_4th!B31</f>
        <v>430</v>
      </c>
      <c r="C87" s="53">
        <f>NE_4th!C31</f>
        <v>2580000</v>
      </c>
      <c r="D87" s="30">
        <f>NE_4th!D31</f>
        <v>532</v>
      </c>
      <c r="E87" s="53">
        <f>NE_4th!E31</f>
        <v>3192000</v>
      </c>
      <c r="F87" s="30"/>
      <c r="G87" s="53"/>
      <c r="H87" s="581"/>
      <c r="I87" s="17"/>
      <c r="J87" s="478"/>
      <c r="K87" s="386"/>
      <c r="L87" s="345">
        <f>NE_4th!L31</f>
        <v>375</v>
      </c>
      <c r="M87" s="344">
        <f>NE_4th!M31</f>
        <v>773500</v>
      </c>
      <c r="N87" s="548"/>
      <c r="O87" s="555"/>
      <c r="P87" s="556"/>
      <c r="Q87" s="550"/>
      <c r="R87" s="551"/>
    </row>
    <row r="88" spans="1:18" ht="15.75" x14ac:dyDescent="0.25">
      <c r="A88" s="83" t="s">
        <v>148</v>
      </c>
      <c r="B88" s="30">
        <f>NE_4th!B32</f>
        <v>334</v>
      </c>
      <c r="C88" s="53">
        <f>NE_4th!C32</f>
        <v>2004000</v>
      </c>
      <c r="D88" s="30">
        <f>NE_4th!D32</f>
        <v>475</v>
      </c>
      <c r="E88" s="53">
        <f>NE_4th!E32</f>
        <v>2850000</v>
      </c>
      <c r="F88" s="30"/>
      <c r="G88" s="53"/>
      <c r="H88" s="581"/>
      <c r="I88" s="17"/>
      <c r="J88" s="478"/>
      <c r="K88" s="386"/>
      <c r="L88" s="345">
        <f>NE_4th!L32</f>
        <v>610</v>
      </c>
      <c r="M88" s="344">
        <f>NE_4th!M32</f>
        <v>1272000</v>
      </c>
      <c r="N88" s="548"/>
      <c r="O88" s="555"/>
      <c r="P88" s="556"/>
      <c r="Q88" s="550"/>
      <c r="R88" s="551"/>
    </row>
    <row r="89" spans="1:18" ht="15.75" x14ac:dyDescent="0.25">
      <c r="A89" s="83" t="s">
        <v>149</v>
      </c>
      <c r="B89" s="30">
        <f>NE_4th!B33</f>
        <v>345</v>
      </c>
      <c r="C89" s="53">
        <f>NE_4th!C33</f>
        <v>2070000</v>
      </c>
      <c r="D89" s="30">
        <f>NE_4th!D33</f>
        <v>421</v>
      </c>
      <c r="E89" s="53">
        <f>NE_4th!E33</f>
        <v>2526000</v>
      </c>
      <c r="F89" s="30"/>
      <c r="G89" s="53"/>
      <c r="H89" s="581"/>
      <c r="I89" s="17"/>
      <c r="J89" s="478"/>
      <c r="K89" s="386"/>
      <c r="L89" s="345">
        <f>NE_4th!L33</f>
        <v>414</v>
      </c>
      <c r="M89" s="344">
        <f>NE_4th!M33</f>
        <v>757500</v>
      </c>
      <c r="N89" s="548"/>
      <c r="O89" s="555"/>
      <c r="P89" s="556"/>
      <c r="Q89" s="550"/>
      <c r="R89" s="551"/>
    </row>
    <row r="90" spans="1:18" ht="31.5" x14ac:dyDescent="0.25">
      <c r="A90" s="607" t="s">
        <v>412</v>
      </c>
      <c r="B90" s="608">
        <f>B91</f>
        <v>0</v>
      </c>
      <c r="C90" s="609">
        <f>C91</f>
        <v>0</v>
      </c>
      <c r="D90" s="608">
        <f t="shared" ref="D90:M90" si="11">D91</f>
        <v>0</v>
      </c>
      <c r="E90" s="609">
        <f t="shared" si="11"/>
        <v>0</v>
      </c>
      <c r="F90" s="608">
        <f t="shared" si="11"/>
        <v>0</v>
      </c>
      <c r="G90" s="609">
        <f t="shared" si="11"/>
        <v>0</v>
      </c>
      <c r="H90" s="608">
        <f t="shared" si="11"/>
        <v>0</v>
      </c>
      <c r="I90" s="609">
        <f t="shared" si="11"/>
        <v>0</v>
      </c>
      <c r="J90" s="608">
        <f t="shared" si="11"/>
        <v>0</v>
      </c>
      <c r="K90" s="609">
        <f t="shared" si="11"/>
        <v>0</v>
      </c>
      <c r="L90" s="608">
        <f t="shared" si="11"/>
        <v>0</v>
      </c>
      <c r="M90" s="609">
        <f t="shared" si="11"/>
        <v>0</v>
      </c>
      <c r="N90" s="548"/>
      <c r="O90" s="555"/>
      <c r="P90" s="556"/>
      <c r="Q90" s="550"/>
      <c r="R90" s="551"/>
    </row>
    <row r="91" spans="1:18" ht="31.5" x14ac:dyDescent="0.25">
      <c r="A91" s="527" t="s">
        <v>413</v>
      </c>
      <c r="B91" s="369"/>
      <c r="C91" s="532"/>
      <c r="D91" s="589"/>
      <c r="E91" s="366"/>
      <c r="F91" s="538"/>
      <c r="G91" s="539"/>
      <c r="H91" s="363"/>
      <c r="I91" s="530"/>
      <c r="J91" s="536"/>
      <c r="K91" s="537"/>
      <c r="L91" s="533"/>
      <c r="M91" s="534"/>
    </row>
    <row r="92" spans="1:18" ht="15.75" x14ac:dyDescent="0.25">
      <c r="A92" s="540"/>
      <c r="B92" s="545"/>
      <c r="C92" s="552"/>
      <c r="D92" s="543"/>
      <c r="E92" s="544"/>
      <c r="F92" s="553"/>
      <c r="G92" s="554"/>
      <c r="H92" s="547"/>
      <c r="I92" s="548"/>
      <c r="J92" s="555"/>
      <c r="K92" s="556"/>
      <c r="L92" s="550"/>
      <c r="M92" s="551"/>
    </row>
    <row r="93" spans="1:18" ht="15.75" x14ac:dyDescent="0.25">
      <c r="A93" s="540"/>
      <c r="B93" s="545"/>
      <c r="C93" s="552"/>
      <c r="D93" s="543"/>
      <c r="E93" s="544"/>
      <c r="F93" s="553"/>
      <c r="G93" s="554"/>
      <c r="H93" s="547"/>
      <c r="I93" s="548"/>
      <c r="J93" s="555"/>
      <c r="K93" s="556"/>
      <c r="L93" s="550"/>
      <c r="M93" s="551"/>
    </row>
    <row r="94" spans="1:18" ht="15.75" x14ac:dyDescent="0.25">
      <c r="A94" s="540"/>
      <c r="B94" s="545"/>
      <c r="C94" s="552"/>
      <c r="D94" s="543"/>
      <c r="E94" s="544"/>
      <c r="F94" s="553"/>
      <c r="G94" s="554"/>
      <c r="H94" s="547"/>
      <c r="I94" s="548"/>
      <c r="J94" s="555"/>
      <c r="K94" s="556"/>
      <c r="L94" s="550"/>
      <c r="M94" s="551"/>
    </row>
    <row r="95" spans="1:18" ht="15.75" x14ac:dyDescent="0.25">
      <c r="A95" s="540"/>
      <c r="B95" s="545"/>
      <c r="C95" s="552"/>
      <c r="D95" s="543"/>
      <c r="E95" s="544"/>
      <c r="F95" s="553"/>
      <c r="G95" s="554"/>
      <c r="H95" s="547"/>
      <c r="I95" s="548"/>
      <c r="J95" s="555"/>
      <c r="K95" s="556"/>
      <c r="L95" s="550"/>
      <c r="M95" s="551"/>
    </row>
    <row r="96" spans="1:18" ht="15.75" x14ac:dyDescent="0.25">
      <c r="A96" s="540"/>
      <c r="B96" s="545"/>
      <c r="C96" s="552"/>
      <c r="D96" s="543"/>
      <c r="E96" s="544"/>
      <c r="F96" s="553"/>
      <c r="G96" s="554"/>
      <c r="H96" s="547"/>
      <c r="I96" s="548"/>
      <c r="J96" s="555"/>
      <c r="K96" s="556"/>
      <c r="L96" s="550"/>
      <c r="M96" s="551"/>
    </row>
    <row r="97" spans="1:13" ht="41.25" customHeight="1" x14ac:dyDescent="0.25">
      <c r="A97" s="1007" t="s">
        <v>3</v>
      </c>
      <c r="B97" s="1012" t="s">
        <v>331</v>
      </c>
      <c r="C97" s="1013"/>
      <c r="D97" s="1013"/>
      <c r="E97" s="1014"/>
      <c r="F97" s="1012" t="s">
        <v>375</v>
      </c>
      <c r="G97" s="1013"/>
      <c r="H97" s="1013"/>
      <c r="I97" s="1014"/>
      <c r="J97" s="1012" t="s">
        <v>391</v>
      </c>
      <c r="K97" s="1013"/>
      <c r="L97" s="1013"/>
      <c r="M97" s="1014"/>
    </row>
    <row r="98" spans="1:13" ht="18.75" customHeight="1" x14ac:dyDescent="0.25">
      <c r="A98" s="1007"/>
      <c r="B98" s="1011" t="s">
        <v>327</v>
      </c>
      <c r="C98" s="1011"/>
      <c r="D98" s="1013" t="s">
        <v>333</v>
      </c>
      <c r="E98" s="1014"/>
      <c r="F98" s="1011" t="s">
        <v>327</v>
      </c>
      <c r="G98" s="1011"/>
      <c r="H98" s="1013" t="s">
        <v>333</v>
      </c>
      <c r="I98" s="1014"/>
      <c r="J98" s="1011" t="s">
        <v>327</v>
      </c>
      <c r="K98" s="1011"/>
      <c r="L98" s="1013" t="s">
        <v>333</v>
      </c>
      <c r="M98" s="1014"/>
    </row>
    <row r="99" spans="1:13" ht="45" customHeight="1" x14ac:dyDescent="0.25">
      <c r="A99" s="1007"/>
      <c r="B99" s="589" t="s">
        <v>308</v>
      </c>
      <c r="C99" s="521" t="s">
        <v>60</v>
      </c>
      <c r="D99" s="589" t="s">
        <v>332</v>
      </c>
      <c r="E99" s="366" t="s">
        <v>305</v>
      </c>
      <c r="F99" s="589" t="s">
        <v>308</v>
      </c>
      <c r="G99" s="588" t="s">
        <v>60</v>
      </c>
      <c r="H99" s="589" t="s">
        <v>253</v>
      </c>
      <c r="I99" s="366" t="s">
        <v>305</v>
      </c>
      <c r="J99" s="589" t="s">
        <v>308</v>
      </c>
      <c r="K99" s="588" t="s">
        <v>60</v>
      </c>
      <c r="L99" s="589" t="s">
        <v>253</v>
      </c>
      <c r="M99" s="366" t="s">
        <v>305</v>
      </c>
    </row>
    <row r="100" spans="1:13" s="605" customFormat="1" ht="18.600000000000001" customHeight="1" x14ac:dyDescent="0.25">
      <c r="A100" s="601" t="s">
        <v>14</v>
      </c>
      <c r="B100" s="602">
        <f t="shared" ref="B100:M100" si="12">B101+B111+B120+B129</f>
        <v>0</v>
      </c>
      <c r="C100" s="604">
        <f t="shared" si="12"/>
        <v>0</v>
      </c>
      <c r="D100" s="602">
        <f t="shared" si="12"/>
        <v>5</v>
      </c>
      <c r="E100" s="604">
        <f t="shared" si="12"/>
        <v>11300</v>
      </c>
      <c r="F100" s="602">
        <f t="shared" si="12"/>
        <v>0</v>
      </c>
      <c r="G100" s="604">
        <f t="shared" si="12"/>
        <v>0</v>
      </c>
      <c r="H100" s="602">
        <f t="shared" si="12"/>
        <v>0</v>
      </c>
      <c r="I100" s="604">
        <f t="shared" si="12"/>
        <v>0</v>
      </c>
      <c r="J100" s="602">
        <f t="shared" si="12"/>
        <v>0</v>
      </c>
      <c r="K100" s="604">
        <f t="shared" si="12"/>
        <v>0</v>
      </c>
      <c r="L100" s="602">
        <f t="shared" si="12"/>
        <v>0</v>
      </c>
      <c r="M100" s="604">
        <f t="shared" si="12"/>
        <v>0</v>
      </c>
    </row>
    <row r="101" spans="1:13" ht="15.75" x14ac:dyDescent="0.25">
      <c r="A101" s="523" t="s">
        <v>278</v>
      </c>
      <c r="B101" s="524">
        <f t="shared" ref="B101:M101" si="13">SUM(B102:B110)</f>
        <v>0</v>
      </c>
      <c r="C101" s="525">
        <f t="shared" si="13"/>
        <v>0</v>
      </c>
      <c r="D101" s="524">
        <f t="shared" si="13"/>
        <v>1</v>
      </c>
      <c r="E101" s="525">
        <f t="shared" si="13"/>
        <v>500</v>
      </c>
      <c r="F101" s="524">
        <f t="shared" si="13"/>
        <v>0</v>
      </c>
      <c r="G101" s="525">
        <f t="shared" si="13"/>
        <v>0</v>
      </c>
      <c r="H101" s="524">
        <f t="shared" si="13"/>
        <v>0</v>
      </c>
      <c r="I101" s="525">
        <f t="shared" si="13"/>
        <v>0</v>
      </c>
      <c r="J101" s="524">
        <f t="shared" si="13"/>
        <v>0</v>
      </c>
      <c r="K101" s="525">
        <f t="shared" si="13"/>
        <v>0</v>
      </c>
      <c r="L101" s="524">
        <f t="shared" si="13"/>
        <v>0</v>
      </c>
      <c r="M101" s="525">
        <f t="shared" si="13"/>
        <v>0</v>
      </c>
    </row>
    <row r="102" spans="1:13" ht="15.75" x14ac:dyDescent="0.25">
      <c r="A102" s="527" t="s">
        <v>118</v>
      </c>
      <c r="B102" s="589"/>
      <c r="C102" s="366"/>
      <c r="D102" s="535">
        <f>NE_1st!D41</f>
        <v>0</v>
      </c>
      <c r="E102" s="366">
        <f>NE_1st!E41</f>
        <v>0</v>
      </c>
      <c r="F102" s="363"/>
      <c r="G102" s="530"/>
      <c r="H102" s="363">
        <f>NE_1st!H41</f>
        <v>0</v>
      </c>
      <c r="I102" s="530">
        <f>NE_1st!I41</f>
        <v>0</v>
      </c>
      <c r="J102" s="363"/>
      <c r="K102" s="530"/>
      <c r="L102" s="363">
        <f>NE_1st!L41</f>
        <v>0</v>
      </c>
      <c r="M102" s="530">
        <f>NE_1st!M41</f>
        <v>0</v>
      </c>
    </row>
    <row r="103" spans="1:13" ht="15.75" x14ac:dyDescent="0.25">
      <c r="A103" s="527" t="s">
        <v>119</v>
      </c>
      <c r="B103" s="589"/>
      <c r="C103" s="366"/>
      <c r="D103" s="535">
        <f>NE_1st!D42</f>
        <v>0</v>
      </c>
      <c r="E103" s="366">
        <f>NE_1st!E42</f>
        <v>0</v>
      </c>
      <c r="F103" s="363"/>
      <c r="G103" s="530"/>
      <c r="H103" s="363">
        <f>NE_1st!H42</f>
        <v>0</v>
      </c>
      <c r="I103" s="530">
        <f>NE_1st!I42</f>
        <v>0</v>
      </c>
      <c r="J103" s="363"/>
      <c r="K103" s="530"/>
      <c r="L103" s="363">
        <f>NE_1st!L42</f>
        <v>0</v>
      </c>
      <c r="M103" s="530">
        <f>NE_1st!M42</f>
        <v>0</v>
      </c>
    </row>
    <row r="104" spans="1:13" ht="15.75" x14ac:dyDescent="0.25">
      <c r="A104" s="527" t="s">
        <v>120</v>
      </c>
      <c r="B104" s="589"/>
      <c r="C104" s="366"/>
      <c r="D104" s="535">
        <f>NE_1st!D43</f>
        <v>1</v>
      </c>
      <c r="E104" s="366">
        <f>NE_1st!E43</f>
        <v>500</v>
      </c>
      <c r="F104" s="363"/>
      <c r="G104" s="530"/>
      <c r="H104" s="363">
        <f>NE_1st!H43</f>
        <v>0</v>
      </c>
      <c r="I104" s="530">
        <f>NE_1st!I43</f>
        <v>0</v>
      </c>
      <c r="J104" s="363"/>
      <c r="K104" s="530"/>
      <c r="L104" s="363">
        <f>NE_1st!L43</f>
        <v>0</v>
      </c>
      <c r="M104" s="530">
        <f>NE_1st!M43</f>
        <v>0</v>
      </c>
    </row>
    <row r="105" spans="1:13" ht="15.75" x14ac:dyDescent="0.25">
      <c r="A105" s="527" t="s">
        <v>121</v>
      </c>
      <c r="B105" s="589"/>
      <c r="C105" s="366"/>
      <c r="D105" s="535">
        <f>NE_1st!D44</f>
        <v>0</v>
      </c>
      <c r="E105" s="366">
        <f>NE_1st!E44</f>
        <v>0</v>
      </c>
      <c r="F105" s="363"/>
      <c r="G105" s="530"/>
      <c r="H105" s="363">
        <f>NE_1st!H44</f>
        <v>0</v>
      </c>
      <c r="I105" s="530">
        <f>NE_1st!I44</f>
        <v>0</v>
      </c>
      <c r="J105" s="363"/>
      <c r="K105" s="530"/>
      <c r="L105" s="363">
        <f>NE_1st!L44</f>
        <v>0</v>
      </c>
      <c r="M105" s="530">
        <f>NE_1st!M44</f>
        <v>0</v>
      </c>
    </row>
    <row r="106" spans="1:13" ht="15.75" x14ac:dyDescent="0.25">
      <c r="A106" s="527" t="s">
        <v>122</v>
      </c>
      <c r="B106" s="589"/>
      <c r="C106" s="366"/>
      <c r="D106" s="535">
        <f>NE_1st!D45</f>
        <v>0</v>
      </c>
      <c r="E106" s="366">
        <f>NE_1st!E45</f>
        <v>0</v>
      </c>
      <c r="F106" s="363"/>
      <c r="G106" s="530"/>
      <c r="H106" s="363">
        <f>NE_1st!H45</f>
        <v>0</v>
      </c>
      <c r="I106" s="530">
        <f>NE_1st!I45</f>
        <v>0</v>
      </c>
      <c r="J106" s="363"/>
      <c r="K106" s="530"/>
      <c r="L106" s="363">
        <f>NE_1st!L45</f>
        <v>0</v>
      </c>
      <c r="M106" s="530">
        <f>NE_1st!M45</f>
        <v>0</v>
      </c>
    </row>
    <row r="107" spans="1:13" ht="15.75" x14ac:dyDescent="0.25">
      <c r="A107" s="527" t="s">
        <v>123</v>
      </c>
      <c r="B107" s="589"/>
      <c r="C107" s="366"/>
      <c r="D107" s="535">
        <f>NE_1st!D46</f>
        <v>0</v>
      </c>
      <c r="E107" s="366">
        <f>NE_1st!E46</f>
        <v>0</v>
      </c>
      <c r="F107" s="363"/>
      <c r="G107" s="530"/>
      <c r="H107" s="363">
        <f>NE_1st!H46</f>
        <v>0</v>
      </c>
      <c r="I107" s="530">
        <f>NE_1st!I46</f>
        <v>0</v>
      </c>
      <c r="J107" s="363"/>
      <c r="K107" s="530"/>
      <c r="L107" s="363">
        <f>NE_1st!L46</f>
        <v>0</v>
      </c>
      <c r="M107" s="530">
        <f>NE_1st!M46</f>
        <v>0</v>
      </c>
    </row>
    <row r="108" spans="1:13" ht="15.75" x14ac:dyDescent="0.25">
      <c r="A108" s="527" t="s">
        <v>124</v>
      </c>
      <c r="B108" s="589"/>
      <c r="C108" s="366"/>
      <c r="D108" s="535">
        <f>NE_1st!D47</f>
        <v>0</v>
      </c>
      <c r="E108" s="366">
        <f>NE_1st!E47</f>
        <v>0</v>
      </c>
      <c r="F108" s="363"/>
      <c r="G108" s="530"/>
      <c r="H108" s="363">
        <f>NE_1st!H47</f>
        <v>0</v>
      </c>
      <c r="I108" s="530">
        <f>NE_1st!I47</f>
        <v>0</v>
      </c>
      <c r="J108" s="363"/>
      <c r="K108" s="530"/>
      <c r="L108" s="363">
        <f>NE_1st!L47</f>
        <v>0</v>
      </c>
      <c r="M108" s="530">
        <f>NE_1st!M47</f>
        <v>0</v>
      </c>
    </row>
    <row r="109" spans="1:13" ht="15.75" x14ac:dyDescent="0.25">
      <c r="A109" s="527" t="s">
        <v>125</v>
      </c>
      <c r="B109" s="589"/>
      <c r="C109" s="366"/>
      <c r="D109" s="535">
        <f>NE_1st!D48</f>
        <v>0</v>
      </c>
      <c r="E109" s="366">
        <f>NE_1st!E48</f>
        <v>0</v>
      </c>
      <c r="F109" s="363"/>
      <c r="G109" s="530"/>
      <c r="H109" s="363">
        <f>NE_1st!H48</f>
        <v>0</v>
      </c>
      <c r="I109" s="530">
        <f>NE_1st!I48</f>
        <v>0</v>
      </c>
      <c r="J109" s="363"/>
      <c r="K109" s="530"/>
      <c r="L109" s="363">
        <f>NE_1st!L48</f>
        <v>0</v>
      </c>
      <c r="M109" s="530">
        <f>NE_1st!M48</f>
        <v>0</v>
      </c>
    </row>
    <row r="110" spans="1:13" ht="15.75" x14ac:dyDescent="0.25">
      <c r="A110" s="527" t="s">
        <v>126</v>
      </c>
      <c r="B110" s="589"/>
      <c r="C110" s="366"/>
      <c r="D110" s="535">
        <f>NE_1st!D49</f>
        <v>0</v>
      </c>
      <c r="E110" s="366">
        <f>NE_1st!E49</f>
        <v>0</v>
      </c>
      <c r="F110" s="363"/>
      <c r="G110" s="530"/>
      <c r="H110" s="363">
        <f>NE_1st!H49</f>
        <v>0</v>
      </c>
      <c r="I110" s="530">
        <f>NE_1st!I49</f>
        <v>0</v>
      </c>
      <c r="J110" s="363"/>
      <c r="K110" s="530"/>
      <c r="L110" s="363">
        <f>NE_1st!L49</f>
        <v>0</v>
      </c>
      <c r="M110" s="530">
        <f>NE_1st!M49</f>
        <v>0</v>
      </c>
    </row>
    <row r="111" spans="1:13" x14ac:dyDescent="0.25">
      <c r="A111" s="349" t="s">
        <v>397</v>
      </c>
      <c r="B111" s="477">
        <f t="shared" ref="B111:I111" si="14">SUM(B112:B119)</f>
        <v>0</v>
      </c>
      <c r="C111" s="351">
        <f t="shared" si="14"/>
        <v>0</v>
      </c>
      <c r="D111" s="477">
        <f t="shared" si="14"/>
        <v>0</v>
      </c>
      <c r="E111" s="351">
        <f t="shared" si="14"/>
        <v>0</v>
      </c>
      <c r="F111" s="477">
        <f t="shared" si="14"/>
        <v>0</v>
      </c>
      <c r="G111" s="351">
        <f t="shared" si="14"/>
        <v>0</v>
      </c>
      <c r="H111" s="477">
        <f t="shared" si="14"/>
        <v>0</v>
      </c>
      <c r="I111" s="351">
        <f t="shared" si="14"/>
        <v>0</v>
      </c>
      <c r="J111" s="477">
        <f t="shared" ref="J111:M111" si="15">SUM(J112:J119)</f>
        <v>0</v>
      </c>
      <c r="K111" s="351">
        <f t="shared" si="15"/>
        <v>0</v>
      </c>
      <c r="L111" s="477">
        <f t="shared" si="15"/>
        <v>0</v>
      </c>
      <c r="M111" s="351">
        <f t="shared" si="15"/>
        <v>0</v>
      </c>
    </row>
    <row r="112" spans="1:13" x14ac:dyDescent="0.25">
      <c r="A112" s="83" t="s">
        <v>127</v>
      </c>
      <c r="B112" s="581"/>
      <c r="C112" s="17"/>
      <c r="D112" s="20">
        <f>NE_2nd!D39</f>
        <v>0</v>
      </c>
      <c r="E112" s="17">
        <f>NE_2nd!E39</f>
        <v>0</v>
      </c>
      <c r="F112" s="30"/>
      <c r="G112" s="384"/>
      <c r="H112" s="30">
        <f>NE_2nd!H39</f>
        <v>0</v>
      </c>
      <c r="I112" s="384">
        <f>NE_2nd!I39</f>
        <v>0</v>
      </c>
      <c r="J112" s="30"/>
      <c r="K112" s="384"/>
      <c r="L112" s="30"/>
      <c r="M112" s="384"/>
    </row>
    <row r="113" spans="1:13" x14ac:dyDescent="0.25">
      <c r="A113" s="83" t="s">
        <v>128</v>
      </c>
      <c r="B113" s="581"/>
      <c r="C113" s="17"/>
      <c r="D113" s="20">
        <f>NE_2nd!D40</f>
        <v>0</v>
      </c>
      <c r="E113" s="17">
        <f>NE_2nd!E40</f>
        <v>0</v>
      </c>
      <c r="F113" s="30"/>
      <c r="G113" s="384"/>
      <c r="H113" s="30">
        <f>NE_2nd!H40</f>
        <v>0</v>
      </c>
      <c r="I113" s="384">
        <f>NE_2nd!I40</f>
        <v>0</v>
      </c>
      <c r="J113" s="30"/>
      <c r="K113" s="384"/>
      <c r="L113" s="30"/>
      <c r="M113" s="384"/>
    </row>
    <row r="114" spans="1:13" x14ac:dyDescent="0.25">
      <c r="A114" s="83" t="s">
        <v>129</v>
      </c>
      <c r="B114" s="581"/>
      <c r="C114" s="17"/>
      <c r="D114" s="20">
        <f>NE_2nd!D41</f>
        <v>0</v>
      </c>
      <c r="E114" s="17">
        <f>NE_2nd!E41</f>
        <v>0</v>
      </c>
      <c r="F114" s="30"/>
      <c r="G114" s="384"/>
      <c r="H114" s="30">
        <f>NE_2nd!H41</f>
        <v>0</v>
      </c>
      <c r="I114" s="384">
        <f>NE_2nd!I41</f>
        <v>0</v>
      </c>
      <c r="J114" s="30"/>
      <c r="K114" s="384"/>
      <c r="L114" s="30"/>
      <c r="M114" s="384"/>
    </row>
    <row r="115" spans="1:13" x14ac:dyDescent="0.25">
      <c r="A115" s="83" t="s">
        <v>130</v>
      </c>
      <c r="B115" s="581"/>
      <c r="C115" s="17"/>
      <c r="D115" s="20">
        <f>NE_2nd!D42</f>
        <v>0</v>
      </c>
      <c r="E115" s="17">
        <f>NE_2nd!E42</f>
        <v>0</v>
      </c>
      <c r="F115" s="30"/>
      <c r="G115" s="384"/>
      <c r="H115" s="30">
        <f>NE_2nd!H42</f>
        <v>0</v>
      </c>
      <c r="I115" s="384">
        <f>NE_2nd!I42</f>
        <v>0</v>
      </c>
      <c r="J115" s="30"/>
      <c r="K115" s="384"/>
      <c r="L115" s="30"/>
      <c r="M115" s="384"/>
    </row>
    <row r="116" spans="1:13" x14ac:dyDescent="0.25">
      <c r="A116" s="83" t="s">
        <v>131</v>
      </c>
      <c r="B116" s="581"/>
      <c r="C116" s="17"/>
      <c r="D116" s="20">
        <f>NE_2nd!D43</f>
        <v>0</v>
      </c>
      <c r="E116" s="17">
        <f>NE_2nd!E43</f>
        <v>0</v>
      </c>
      <c r="F116" s="30"/>
      <c r="G116" s="384"/>
      <c r="H116" s="30">
        <f>NE_2nd!H43</f>
        <v>0</v>
      </c>
      <c r="I116" s="384">
        <f>NE_2nd!I43</f>
        <v>0</v>
      </c>
      <c r="J116" s="30"/>
      <c r="K116" s="384"/>
      <c r="L116" s="30"/>
      <c r="M116" s="384"/>
    </row>
    <row r="117" spans="1:13" x14ac:dyDescent="0.25">
      <c r="A117" s="83" t="s">
        <v>132</v>
      </c>
      <c r="B117" s="581"/>
      <c r="C117" s="17"/>
      <c r="D117" s="20">
        <f>NE_2nd!D44</f>
        <v>0</v>
      </c>
      <c r="E117" s="17">
        <f>NE_2nd!E44</f>
        <v>0</v>
      </c>
      <c r="F117" s="30"/>
      <c r="G117" s="384"/>
      <c r="H117" s="30">
        <f>NE_2nd!H44</f>
        <v>0</v>
      </c>
      <c r="I117" s="384">
        <f>NE_2nd!I44</f>
        <v>0</v>
      </c>
      <c r="J117" s="30"/>
      <c r="K117" s="384"/>
      <c r="L117" s="30"/>
      <c r="M117" s="384"/>
    </row>
    <row r="118" spans="1:13" ht="30" x14ac:dyDescent="0.25">
      <c r="A118" s="83" t="s">
        <v>133</v>
      </c>
      <c r="B118" s="581"/>
      <c r="C118" s="17"/>
      <c r="D118" s="20">
        <f>NE_2nd!D45</f>
        <v>0</v>
      </c>
      <c r="E118" s="17">
        <f>NE_2nd!E45</f>
        <v>0</v>
      </c>
      <c r="F118" s="30"/>
      <c r="G118" s="384"/>
      <c r="H118" s="30">
        <f>NE_2nd!H45</f>
        <v>0</v>
      </c>
      <c r="I118" s="384">
        <f>NE_2nd!I45</f>
        <v>0</v>
      </c>
      <c r="J118" s="30"/>
      <c r="K118" s="384"/>
      <c r="L118" s="30"/>
      <c r="M118" s="384"/>
    </row>
    <row r="119" spans="1:13" x14ac:dyDescent="0.25">
      <c r="A119" s="83" t="s">
        <v>134</v>
      </c>
      <c r="B119" s="581"/>
      <c r="C119" s="17"/>
      <c r="D119" s="20">
        <f>NE_2nd!D46</f>
        <v>0</v>
      </c>
      <c r="E119" s="17">
        <f>NE_2nd!E46</f>
        <v>0</v>
      </c>
      <c r="F119" s="30"/>
      <c r="G119" s="384"/>
      <c r="H119" s="30">
        <f>NE_2nd!H46</f>
        <v>0</v>
      </c>
      <c r="I119" s="384">
        <f>NE_2nd!I46</f>
        <v>0</v>
      </c>
      <c r="J119" s="30"/>
      <c r="K119" s="384"/>
      <c r="L119" s="30"/>
      <c r="M119" s="384"/>
    </row>
    <row r="120" spans="1:13" x14ac:dyDescent="0.25">
      <c r="A120" s="349" t="s">
        <v>406</v>
      </c>
      <c r="B120" s="477">
        <f>SUM(B121:B128)</f>
        <v>0</v>
      </c>
      <c r="C120" s="351">
        <f>SUM(C121:C128)</f>
        <v>0</v>
      </c>
      <c r="D120" s="477">
        <f t="shared" ref="D120:M120" si="16">SUM(D121:D128)</f>
        <v>4</v>
      </c>
      <c r="E120" s="351">
        <f t="shared" si="16"/>
        <v>10800</v>
      </c>
      <c r="F120" s="477">
        <f t="shared" si="16"/>
        <v>0</v>
      </c>
      <c r="G120" s="351">
        <f t="shared" si="16"/>
        <v>0</v>
      </c>
      <c r="H120" s="477">
        <f t="shared" si="16"/>
        <v>0</v>
      </c>
      <c r="I120" s="351">
        <f t="shared" si="16"/>
        <v>0</v>
      </c>
      <c r="J120" s="477">
        <f t="shared" si="16"/>
        <v>0</v>
      </c>
      <c r="K120" s="351">
        <f t="shared" si="16"/>
        <v>0</v>
      </c>
      <c r="L120" s="477">
        <f t="shared" si="16"/>
        <v>0</v>
      </c>
      <c r="M120" s="351">
        <f t="shared" si="16"/>
        <v>0</v>
      </c>
    </row>
    <row r="121" spans="1:13" x14ac:dyDescent="0.25">
      <c r="A121" s="83" t="s">
        <v>135</v>
      </c>
      <c r="B121" s="581"/>
      <c r="C121" s="17"/>
      <c r="D121" s="20">
        <f>NE_3rd!D37</f>
        <v>0</v>
      </c>
      <c r="E121" s="17">
        <f>NE_3rd!E37</f>
        <v>0</v>
      </c>
      <c r="F121" s="30"/>
      <c r="G121" s="384"/>
      <c r="H121" s="30">
        <f>NE_3rd!H37</f>
        <v>0</v>
      </c>
      <c r="I121" s="384">
        <f>NE_3rd!I37</f>
        <v>0</v>
      </c>
      <c r="J121" s="30"/>
      <c r="K121" s="384"/>
      <c r="L121" s="30">
        <f>NE_3rd!L37</f>
        <v>0</v>
      </c>
      <c r="M121" s="384">
        <f>NE_3rd!M37</f>
        <v>0</v>
      </c>
    </row>
    <row r="122" spans="1:13" x14ac:dyDescent="0.25">
      <c r="A122" s="83" t="s">
        <v>136</v>
      </c>
      <c r="B122" s="581"/>
      <c r="C122" s="17"/>
      <c r="D122" s="20">
        <f>NE_3rd!D38</f>
        <v>2</v>
      </c>
      <c r="E122" s="17">
        <f>NE_3rd!E38</f>
        <v>800</v>
      </c>
      <c r="F122" s="30"/>
      <c r="G122" s="384"/>
      <c r="H122" s="30">
        <f>NE_3rd!H38</f>
        <v>0</v>
      </c>
      <c r="I122" s="384">
        <f>NE_3rd!I38</f>
        <v>0</v>
      </c>
      <c r="J122" s="30"/>
      <c r="K122" s="384"/>
      <c r="L122" s="30">
        <f>NE_3rd!L38</f>
        <v>0</v>
      </c>
      <c r="M122" s="384">
        <f>NE_3rd!M38</f>
        <v>0</v>
      </c>
    </row>
    <row r="123" spans="1:13" x14ac:dyDescent="0.25">
      <c r="A123" s="83" t="s">
        <v>137</v>
      </c>
      <c r="B123" s="581"/>
      <c r="C123" s="17"/>
      <c r="D123" s="20">
        <f>NE_3rd!D39</f>
        <v>0</v>
      </c>
      <c r="E123" s="17">
        <f>NE_3rd!E39</f>
        <v>0</v>
      </c>
      <c r="F123" s="30"/>
      <c r="G123" s="384"/>
      <c r="H123" s="30">
        <f>NE_3rd!H39</f>
        <v>0</v>
      </c>
      <c r="I123" s="384">
        <f>NE_3rd!I39</f>
        <v>0</v>
      </c>
      <c r="J123" s="30"/>
      <c r="K123" s="384"/>
      <c r="L123" s="30">
        <f>NE_3rd!L39</f>
        <v>0</v>
      </c>
      <c r="M123" s="384">
        <f>NE_3rd!M39</f>
        <v>0</v>
      </c>
    </row>
    <row r="124" spans="1:13" x14ac:dyDescent="0.25">
      <c r="A124" s="83" t="s">
        <v>138</v>
      </c>
      <c r="B124" s="581"/>
      <c r="C124" s="17"/>
      <c r="D124" s="20">
        <f>NE_3rd!D40</f>
        <v>0</v>
      </c>
      <c r="E124" s="17">
        <f>NE_3rd!E40</f>
        <v>0</v>
      </c>
      <c r="F124" s="30"/>
      <c r="G124" s="384"/>
      <c r="H124" s="30">
        <f>NE_3rd!H40</f>
        <v>0</v>
      </c>
      <c r="I124" s="384">
        <f>NE_3rd!I40</f>
        <v>0</v>
      </c>
      <c r="J124" s="30"/>
      <c r="K124" s="384"/>
      <c r="L124" s="30">
        <f>NE_3rd!L40</f>
        <v>0</v>
      </c>
      <c r="M124" s="384">
        <f>NE_3rd!M40</f>
        <v>0</v>
      </c>
    </row>
    <row r="125" spans="1:13" x14ac:dyDescent="0.25">
      <c r="A125" s="83" t="s">
        <v>139</v>
      </c>
      <c r="B125" s="581"/>
      <c r="C125" s="17"/>
      <c r="D125" s="20">
        <f>NE_3rd!D41</f>
        <v>1</v>
      </c>
      <c r="E125" s="17">
        <f>NE_3rd!E41</f>
        <v>5000</v>
      </c>
      <c r="F125" s="30"/>
      <c r="G125" s="384"/>
      <c r="H125" s="30">
        <f>NE_3rd!H41</f>
        <v>0</v>
      </c>
      <c r="I125" s="384">
        <f>NE_3rd!I41</f>
        <v>0</v>
      </c>
      <c r="J125" s="30"/>
      <c r="K125" s="384"/>
      <c r="L125" s="30">
        <f>NE_3rd!L41</f>
        <v>0</v>
      </c>
      <c r="M125" s="384">
        <f>NE_3rd!M41</f>
        <v>0</v>
      </c>
    </row>
    <row r="126" spans="1:13" x14ac:dyDescent="0.25">
      <c r="A126" s="83" t="s">
        <v>140</v>
      </c>
      <c r="B126" s="581"/>
      <c r="C126" s="17"/>
      <c r="D126" s="20">
        <f>NE_3rd!D42</f>
        <v>1</v>
      </c>
      <c r="E126" s="17">
        <f>NE_3rd!E42</f>
        <v>5000</v>
      </c>
      <c r="F126" s="30"/>
      <c r="G126" s="384"/>
      <c r="H126" s="30">
        <f>NE_3rd!H42</f>
        <v>0</v>
      </c>
      <c r="I126" s="384">
        <f>NE_3rd!I42</f>
        <v>0</v>
      </c>
      <c r="J126" s="30"/>
      <c r="K126" s="384"/>
      <c r="L126" s="30">
        <f>NE_3rd!L42</f>
        <v>0</v>
      </c>
      <c r="M126" s="384">
        <f>NE_3rd!M42</f>
        <v>0</v>
      </c>
    </row>
    <row r="127" spans="1:13" x14ac:dyDescent="0.25">
      <c r="A127" s="83" t="s">
        <v>141</v>
      </c>
      <c r="B127" s="581"/>
      <c r="C127" s="17"/>
      <c r="D127" s="20">
        <f>NE_3rd!D43</f>
        <v>0</v>
      </c>
      <c r="E127" s="17">
        <f>NE_3rd!E43</f>
        <v>0</v>
      </c>
      <c r="F127" s="30"/>
      <c r="G127" s="384"/>
      <c r="H127" s="30">
        <f>NE_3rd!H43</f>
        <v>0</v>
      </c>
      <c r="I127" s="384">
        <f>NE_3rd!I43</f>
        <v>0</v>
      </c>
      <c r="J127" s="30"/>
      <c r="K127" s="384"/>
      <c r="L127" s="30">
        <f>NE_3rd!L43</f>
        <v>0</v>
      </c>
      <c r="M127" s="384">
        <f>NE_3rd!M43</f>
        <v>0</v>
      </c>
    </row>
    <row r="128" spans="1:13" x14ac:dyDescent="0.25">
      <c r="A128" s="83" t="s">
        <v>395</v>
      </c>
      <c r="B128" s="581"/>
      <c r="C128" s="17"/>
      <c r="D128" s="20">
        <f>NE_3rd!D44</f>
        <v>0</v>
      </c>
      <c r="E128" s="17">
        <f>NE_3rd!E44</f>
        <v>0</v>
      </c>
      <c r="F128" s="30"/>
      <c r="G128" s="384"/>
      <c r="H128" s="30">
        <f>NE_3rd!H44</f>
        <v>0</v>
      </c>
      <c r="I128" s="384">
        <f>NE_3rd!I44</f>
        <v>0</v>
      </c>
      <c r="J128" s="30"/>
      <c r="K128" s="384"/>
      <c r="L128" s="30">
        <f>NE_3rd!L44</f>
        <v>0</v>
      </c>
      <c r="M128" s="384">
        <f>NE_3rd!M44</f>
        <v>0</v>
      </c>
    </row>
    <row r="129" spans="1:13" x14ac:dyDescent="0.25">
      <c r="A129" s="349" t="s">
        <v>399</v>
      </c>
      <c r="B129" s="477">
        <f>SUM(B130:B138)</f>
        <v>0</v>
      </c>
      <c r="C129" s="351">
        <f>SUM(C130:C138)</f>
        <v>0</v>
      </c>
      <c r="D129" s="477">
        <f t="shared" ref="D129:M129" si="17">SUM(D130:D138)</f>
        <v>0</v>
      </c>
      <c r="E129" s="351">
        <f t="shared" si="17"/>
        <v>0</v>
      </c>
      <c r="F129" s="477">
        <f t="shared" si="17"/>
        <v>0</v>
      </c>
      <c r="G129" s="351">
        <f t="shared" si="17"/>
        <v>0</v>
      </c>
      <c r="H129" s="477">
        <f t="shared" si="17"/>
        <v>0</v>
      </c>
      <c r="I129" s="351">
        <f t="shared" si="17"/>
        <v>0</v>
      </c>
      <c r="J129" s="477">
        <f t="shared" si="17"/>
        <v>0</v>
      </c>
      <c r="K129" s="351">
        <f t="shared" si="17"/>
        <v>0</v>
      </c>
      <c r="L129" s="477">
        <f t="shared" si="17"/>
        <v>0</v>
      </c>
      <c r="M129" s="351">
        <f t="shared" si="17"/>
        <v>0</v>
      </c>
    </row>
    <row r="130" spans="1:13" x14ac:dyDescent="0.25">
      <c r="A130" s="83" t="s">
        <v>142</v>
      </c>
      <c r="B130" s="581"/>
      <c r="C130" s="17"/>
      <c r="D130" s="20">
        <f>NE_4th!D39</f>
        <v>0</v>
      </c>
      <c r="E130" s="627">
        <f>NE_4th!E39</f>
        <v>0</v>
      </c>
      <c r="F130" s="30"/>
      <c r="G130" s="384"/>
      <c r="H130" s="30">
        <f>NE_4th!D39</f>
        <v>0</v>
      </c>
      <c r="I130" s="384">
        <f>NE_4th!E39</f>
        <v>0</v>
      </c>
      <c r="J130" s="30"/>
      <c r="K130" s="384"/>
      <c r="L130" s="30">
        <f>NE_4th!H39</f>
        <v>0</v>
      </c>
      <c r="M130" s="384">
        <f>NE_4th!I39</f>
        <v>0</v>
      </c>
    </row>
    <row r="131" spans="1:13" x14ac:dyDescent="0.25">
      <c r="A131" s="83" t="s">
        <v>143</v>
      </c>
      <c r="B131" s="581"/>
      <c r="C131" s="17"/>
      <c r="D131" s="20">
        <f>NE_4th!D40</f>
        <v>0</v>
      </c>
      <c r="E131" s="627">
        <f>NE_4th!E40</f>
        <v>0</v>
      </c>
      <c r="F131" s="30"/>
      <c r="G131" s="384"/>
      <c r="H131" s="30">
        <f>NE_4th!D40</f>
        <v>0</v>
      </c>
      <c r="I131" s="384">
        <f>NE_4th!E40</f>
        <v>0</v>
      </c>
      <c r="J131" s="30"/>
      <c r="K131" s="384"/>
      <c r="L131" s="30">
        <f>NE_4th!H40</f>
        <v>0</v>
      </c>
      <c r="M131" s="384">
        <f>NE_4th!I40</f>
        <v>0</v>
      </c>
    </row>
    <row r="132" spans="1:13" x14ac:dyDescent="0.25">
      <c r="A132" s="83" t="s">
        <v>144</v>
      </c>
      <c r="B132" s="581"/>
      <c r="C132" s="17"/>
      <c r="D132" s="20">
        <f>NE_4th!D41</f>
        <v>0</v>
      </c>
      <c r="E132" s="627">
        <f>NE_4th!E41</f>
        <v>0</v>
      </c>
      <c r="F132" s="30"/>
      <c r="G132" s="384"/>
      <c r="H132" s="30">
        <f>NE_4th!D41</f>
        <v>0</v>
      </c>
      <c r="I132" s="384">
        <f>NE_4th!E41</f>
        <v>0</v>
      </c>
      <c r="J132" s="30"/>
      <c r="K132" s="384"/>
      <c r="L132" s="30">
        <f>NE_4th!H41</f>
        <v>0</v>
      </c>
      <c r="M132" s="384">
        <f>NE_4th!I41</f>
        <v>0</v>
      </c>
    </row>
    <row r="133" spans="1:13" x14ac:dyDescent="0.25">
      <c r="A133" s="83" t="s">
        <v>145</v>
      </c>
      <c r="B133" s="581"/>
      <c r="C133" s="17"/>
      <c r="D133" s="20">
        <f>NE_4th!D42</f>
        <v>0</v>
      </c>
      <c r="E133" s="627">
        <f>NE_4th!E42</f>
        <v>0</v>
      </c>
      <c r="F133" s="30"/>
      <c r="G133" s="384"/>
      <c r="H133" s="30">
        <f>NE_4th!D42</f>
        <v>0</v>
      </c>
      <c r="I133" s="384">
        <f>NE_4th!E42</f>
        <v>0</v>
      </c>
      <c r="J133" s="30"/>
      <c r="K133" s="384"/>
      <c r="L133" s="30">
        <f>NE_4th!H42</f>
        <v>0</v>
      </c>
      <c r="M133" s="384">
        <f>NE_4th!I42</f>
        <v>0</v>
      </c>
    </row>
    <row r="134" spans="1:13" x14ac:dyDescent="0.25">
      <c r="A134" s="83" t="s">
        <v>146</v>
      </c>
      <c r="B134" s="581"/>
      <c r="C134" s="17"/>
      <c r="D134" s="20">
        <f>NE_4th!D43</f>
        <v>0</v>
      </c>
      <c r="E134" s="627">
        <f>NE_4th!E43</f>
        <v>0</v>
      </c>
      <c r="F134" s="30"/>
      <c r="G134" s="384"/>
      <c r="H134" s="30">
        <f>NE_4th!D43</f>
        <v>0</v>
      </c>
      <c r="I134" s="384">
        <f>NE_4th!E43</f>
        <v>0</v>
      </c>
      <c r="J134" s="30"/>
      <c r="K134" s="384"/>
      <c r="L134" s="30">
        <f>NE_4th!H43</f>
        <v>0</v>
      </c>
      <c r="M134" s="384">
        <f>NE_4th!I43</f>
        <v>0</v>
      </c>
    </row>
    <row r="135" spans="1:13" x14ac:dyDescent="0.25">
      <c r="A135" s="83" t="s">
        <v>147</v>
      </c>
      <c r="B135" s="581"/>
      <c r="C135" s="17"/>
      <c r="D135" s="20">
        <f>NE_4th!D44</f>
        <v>0</v>
      </c>
      <c r="E135" s="627">
        <f>NE_4th!E44</f>
        <v>0</v>
      </c>
      <c r="F135" s="30"/>
      <c r="G135" s="384"/>
      <c r="H135" s="30">
        <f>NE_4th!D44</f>
        <v>0</v>
      </c>
      <c r="I135" s="384">
        <f>NE_4th!E44</f>
        <v>0</v>
      </c>
      <c r="J135" s="30"/>
      <c r="K135" s="384"/>
      <c r="L135" s="30">
        <f>NE_4th!H44</f>
        <v>0</v>
      </c>
      <c r="M135" s="384">
        <f>NE_4th!I44</f>
        <v>0</v>
      </c>
    </row>
    <row r="136" spans="1:13" x14ac:dyDescent="0.25">
      <c r="A136" s="83" t="s">
        <v>148</v>
      </c>
      <c r="B136" s="581"/>
      <c r="C136" s="17"/>
      <c r="D136" s="20">
        <f>NE_4th!D45</f>
        <v>0</v>
      </c>
      <c r="E136" s="627">
        <f>NE_4th!E45</f>
        <v>0</v>
      </c>
      <c r="F136" s="30"/>
      <c r="G136" s="384"/>
      <c r="H136" s="30">
        <f>NE_4th!D45</f>
        <v>0</v>
      </c>
      <c r="I136" s="384">
        <f>NE_4th!E45</f>
        <v>0</v>
      </c>
      <c r="J136" s="30"/>
      <c r="K136" s="384"/>
      <c r="L136" s="30">
        <f>NE_4th!H45</f>
        <v>0</v>
      </c>
      <c r="M136" s="384">
        <f>NE_4th!I45</f>
        <v>0</v>
      </c>
    </row>
    <row r="137" spans="1:13" x14ac:dyDescent="0.25">
      <c r="A137" s="83" t="s">
        <v>149</v>
      </c>
      <c r="B137" s="581"/>
      <c r="C137" s="17"/>
      <c r="D137" s="20">
        <f>NE_4th!D46</f>
        <v>0</v>
      </c>
      <c r="E137" s="627">
        <f>NE_4th!E46</f>
        <v>0</v>
      </c>
      <c r="F137" s="30"/>
      <c r="G137" s="384"/>
      <c r="H137" s="30">
        <f>NE_4th!D46</f>
        <v>0</v>
      </c>
      <c r="I137" s="384">
        <f>NE_4th!E46</f>
        <v>0</v>
      </c>
      <c r="J137" s="30"/>
      <c r="K137" s="384"/>
      <c r="L137" s="30">
        <f>NE_4th!H46</f>
        <v>0</v>
      </c>
      <c r="M137" s="384">
        <f>NE_4th!I46</f>
        <v>0</v>
      </c>
    </row>
    <row r="138" spans="1:13" x14ac:dyDescent="0.25">
      <c r="A138" s="83" t="s">
        <v>396</v>
      </c>
      <c r="B138" s="275"/>
      <c r="C138" s="344"/>
      <c r="D138" s="20">
        <f>NE_4th!D47</f>
        <v>0</v>
      </c>
      <c r="E138" s="627">
        <f>NE_4th!E47</f>
        <v>0</v>
      </c>
      <c r="F138" s="30"/>
      <c r="G138" s="384"/>
      <c r="H138" s="30">
        <f>NE_4th!D47</f>
        <v>0</v>
      </c>
      <c r="I138" s="384">
        <f>NE_4th!E47</f>
        <v>0</v>
      </c>
      <c r="J138" s="30"/>
      <c r="K138" s="384"/>
      <c r="L138" s="30">
        <f>NE_4th!H47</f>
        <v>0</v>
      </c>
      <c r="M138" s="384">
        <f>NE_4th!I47</f>
        <v>0</v>
      </c>
    </row>
    <row r="142" spans="1:13" ht="14.45" customHeight="1" x14ac:dyDescent="0.25">
      <c r="D142" s="1007" t="s">
        <v>3</v>
      </c>
      <c r="E142" s="1007"/>
      <c r="F142" s="896" t="s">
        <v>14</v>
      </c>
      <c r="G142" s="897"/>
      <c r="H142" s="897"/>
      <c r="I142" s="898"/>
    </row>
    <row r="143" spans="1:13" ht="14.45" customHeight="1" x14ac:dyDescent="0.25">
      <c r="D143" s="1007"/>
      <c r="E143" s="1007"/>
      <c r="F143" s="907" t="s">
        <v>409</v>
      </c>
      <c r="G143" s="908"/>
      <c r="H143" s="907" t="s">
        <v>410</v>
      </c>
      <c r="I143" s="908"/>
    </row>
    <row r="144" spans="1:13" ht="14.45" customHeight="1" x14ac:dyDescent="0.25">
      <c r="D144" s="1007"/>
      <c r="E144" s="1007"/>
      <c r="F144" s="909"/>
      <c r="G144" s="910"/>
      <c r="H144" s="909"/>
      <c r="I144" s="910"/>
    </row>
    <row r="145" spans="4:9" ht="15.75" x14ac:dyDescent="0.25">
      <c r="D145" s="982" t="s">
        <v>14</v>
      </c>
      <c r="E145" s="982"/>
      <c r="F145" s="1018">
        <f>F146+F156+F165+F174+F184</f>
        <v>1595575914.8699999</v>
      </c>
      <c r="G145" s="1019"/>
      <c r="H145" s="1018">
        <f>H146+H156+H165+H174+H184</f>
        <v>1031515896</v>
      </c>
      <c r="I145" s="1019"/>
    </row>
    <row r="146" spans="4:9" ht="15.75" x14ac:dyDescent="0.25">
      <c r="D146" s="1016" t="s">
        <v>278</v>
      </c>
      <c r="E146" s="1016"/>
      <c r="F146" s="998">
        <f>SUM(F147:G155)</f>
        <v>511432498.54000002</v>
      </c>
      <c r="G146" s="999"/>
      <c r="H146" s="998">
        <f>SUM(H147:I155)</f>
        <v>339499504</v>
      </c>
      <c r="I146" s="999"/>
    </row>
    <row r="147" spans="4:9" ht="15.75" x14ac:dyDescent="0.25">
      <c r="D147" s="1015" t="s">
        <v>118</v>
      </c>
      <c r="E147" s="1015"/>
      <c r="F147" s="1017">
        <f>C14+G14+K14+C55+G55+K55+C102+G102+K102</f>
        <v>56775000</v>
      </c>
      <c r="G147" s="901"/>
      <c r="H147" s="1017">
        <f>E14+I14+M14+E55+I55+M55+E102+I102+M102</f>
        <v>38297800</v>
      </c>
      <c r="I147" s="901"/>
    </row>
    <row r="148" spans="4:9" ht="15.75" x14ac:dyDescent="0.25">
      <c r="D148" s="1015" t="s">
        <v>119</v>
      </c>
      <c r="E148" s="1015"/>
      <c r="F148" s="1017">
        <f t="shared" ref="F148:F155" si="18">C15+G15+K15+C56+G56+K56+C103+G103+K103</f>
        <v>62049000</v>
      </c>
      <c r="G148" s="901"/>
      <c r="H148" s="1017">
        <f t="shared" ref="H148:H155" si="19">E15+I15+M15+E56+I56+M56+E103+I103+M103</f>
        <v>41890264</v>
      </c>
      <c r="I148" s="901"/>
    </row>
    <row r="149" spans="4:9" ht="15.75" x14ac:dyDescent="0.25">
      <c r="D149" s="1015" t="s">
        <v>120</v>
      </c>
      <c r="E149" s="1015"/>
      <c r="F149" s="1017">
        <f t="shared" si="18"/>
        <v>100521000</v>
      </c>
      <c r="G149" s="901"/>
      <c r="H149" s="1017">
        <f t="shared" si="19"/>
        <v>69177376</v>
      </c>
      <c r="I149" s="901"/>
    </row>
    <row r="150" spans="4:9" ht="15.75" x14ac:dyDescent="0.25">
      <c r="D150" s="1015" t="s">
        <v>121</v>
      </c>
      <c r="E150" s="1015"/>
      <c r="F150" s="1017">
        <f t="shared" si="18"/>
        <v>31281000</v>
      </c>
      <c r="G150" s="901"/>
      <c r="H150" s="1017">
        <f t="shared" si="19"/>
        <v>22905444</v>
      </c>
      <c r="I150" s="901"/>
    </row>
    <row r="151" spans="4:9" ht="15.75" x14ac:dyDescent="0.25">
      <c r="D151" s="1015" t="s">
        <v>122</v>
      </c>
      <c r="E151" s="1015"/>
      <c r="F151" s="1017">
        <f t="shared" si="18"/>
        <v>15737000</v>
      </c>
      <c r="G151" s="901"/>
      <c r="H151" s="1017">
        <f t="shared" si="19"/>
        <v>10926300</v>
      </c>
      <c r="I151" s="901"/>
    </row>
    <row r="152" spans="4:9" ht="15.75" x14ac:dyDescent="0.25">
      <c r="D152" s="1015" t="s">
        <v>123</v>
      </c>
      <c r="E152" s="1015"/>
      <c r="F152" s="1017">
        <f t="shared" si="18"/>
        <v>50386698.539999999</v>
      </c>
      <c r="G152" s="901"/>
      <c r="H152" s="1017">
        <f t="shared" si="19"/>
        <v>31357625</v>
      </c>
      <c r="I152" s="901"/>
    </row>
    <row r="153" spans="4:9" ht="31.15" customHeight="1" x14ac:dyDescent="0.25">
      <c r="D153" s="1015" t="s">
        <v>124</v>
      </c>
      <c r="E153" s="1015"/>
      <c r="F153" s="1017">
        <f t="shared" si="18"/>
        <v>46513800</v>
      </c>
      <c r="G153" s="901"/>
      <c r="H153" s="1017">
        <f t="shared" si="19"/>
        <v>29130250</v>
      </c>
      <c r="I153" s="901"/>
    </row>
    <row r="154" spans="4:9" ht="15.75" x14ac:dyDescent="0.25">
      <c r="D154" s="1015" t="s">
        <v>125</v>
      </c>
      <c r="E154" s="1015"/>
      <c r="F154" s="1017">
        <f t="shared" si="18"/>
        <v>105209000</v>
      </c>
      <c r="G154" s="901"/>
      <c r="H154" s="1017">
        <f t="shared" si="19"/>
        <v>68782710</v>
      </c>
      <c r="I154" s="901"/>
    </row>
    <row r="155" spans="4:9" ht="15.75" x14ac:dyDescent="0.25">
      <c r="D155" s="1015" t="s">
        <v>126</v>
      </c>
      <c r="E155" s="1015"/>
      <c r="F155" s="1017">
        <f t="shared" si="18"/>
        <v>42960000</v>
      </c>
      <c r="G155" s="901"/>
      <c r="H155" s="1017">
        <f t="shared" si="19"/>
        <v>27031735</v>
      </c>
      <c r="I155" s="901"/>
    </row>
    <row r="156" spans="4:9" x14ac:dyDescent="0.25">
      <c r="D156" s="974" t="s">
        <v>397</v>
      </c>
      <c r="E156" s="974"/>
      <c r="F156" s="998">
        <f>SUM(F157:G164)</f>
        <v>393680077.82999998</v>
      </c>
      <c r="G156" s="1020"/>
      <c r="H156" s="998">
        <f>SUM(H157:I164)</f>
        <v>233558314</v>
      </c>
      <c r="I156" s="1020"/>
    </row>
    <row r="157" spans="4:9" x14ac:dyDescent="0.25">
      <c r="D157" s="978" t="s">
        <v>127</v>
      </c>
      <c r="E157" s="978"/>
      <c r="F157" s="1017">
        <f>C24+G24+K24+C65+G65+K65+C112+G112+K112</f>
        <v>39421000</v>
      </c>
      <c r="G157" s="901"/>
      <c r="H157" s="1017">
        <f>E24+I24+M24+E65+I65+M65+E112+I112+M112</f>
        <v>25688400</v>
      </c>
      <c r="I157" s="901"/>
    </row>
    <row r="158" spans="4:9" x14ac:dyDescent="0.25">
      <c r="D158" s="978" t="s">
        <v>128</v>
      </c>
      <c r="E158" s="978"/>
      <c r="F158" s="1017">
        <f t="shared" ref="F158:F164" si="20">C25+G25+K25+C66+G66+K66+C113+G113+K113</f>
        <v>36078000</v>
      </c>
      <c r="G158" s="901"/>
      <c r="H158" s="1017">
        <f t="shared" ref="H158:H164" si="21">E25+I25+M25+E66+I66+M66+E113+I113+M113</f>
        <v>21432812</v>
      </c>
      <c r="I158" s="901"/>
    </row>
    <row r="159" spans="4:9" x14ac:dyDescent="0.25">
      <c r="D159" s="978" t="s">
        <v>129</v>
      </c>
      <c r="E159" s="978"/>
      <c r="F159" s="1017">
        <f t="shared" si="20"/>
        <v>44792347.829999998</v>
      </c>
      <c r="G159" s="901"/>
      <c r="H159" s="1017">
        <f t="shared" si="21"/>
        <v>28608270</v>
      </c>
      <c r="I159" s="901"/>
    </row>
    <row r="160" spans="4:9" x14ac:dyDescent="0.25">
      <c r="D160" s="978" t="s">
        <v>130</v>
      </c>
      <c r="E160" s="978"/>
      <c r="F160" s="1017">
        <f t="shared" si="20"/>
        <v>33333000</v>
      </c>
      <c r="G160" s="901"/>
      <c r="H160" s="1017">
        <f t="shared" si="21"/>
        <v>19991400</v>
      </c>
      <c r="I160" s="901"/>
    </row>
    <row r="161" spans="4:9" x14ac:dyDescent="0.25">
      <c r="D161" s="978" t="s">
        <v>131</v>
      </c>
      <c r="E161" s="978"/>
      <c r="F161" s="1017">
        <f t="shared" si="20"/>
        <v>43181730</v>
      </c>
      <c r="G161" s="901"/>
      <c r="H161" s="1017">
        <f t="shared" si="21"/>
        <v>27652296</v>
      </c>
      <c r="I161" s="901"/>
    </row>
    <row r="162" spans="4:9" x14ac:dyDescent="0.25">
      <c r="D162" s="978" t="s">
        <v>132</v>
      </c>
      <c r="E162" s="978"/>
      <c r="F162" s="1017">
        <f t="shared" si="20"/>
        <v>80527000</v>
      </c>
      <c r="G162" s="901"/>
      <c r="H162" s="1017">
        <f t="shared" si="21"/>
        <v>46773260</v>
      </c>
      <c r="I162" s="901"/>
    </row>
    <row r="163" spans="4:9" ht="28.9" customHeight="1" x14ac:dyDescent="0.25">
      <c r="D163" s="978" t="s">
        <v>133</v>
      </c>
      <c r="E163" s="978"/>
      <c r="F163" s="1017">
        <f t="shared" si="20"/>
        <v>84097000</v>
      </c>
      <c r="G163" s="901"/>
      <c r="H163" s="1017">
        <f t="shared" si="21"/>
        <v>43415300</v>
      </c>
      <c r="I163" s="901"/>
    </row>
    <row r="164" spans="4:9" x14ac:dyDescent="0.25">
      <c r="D164" s="978" t="s">
        <v>134</v>
      </c>
      <c r="E164" s="978"/>
      <c r="F164" s="1017">
        <f t="shared" si="20"/>
        <v>32250000</v>
      </c>
      <c r="G164" s="901"/>
      <c r="H164" s="1017">
        <f t="shared" si="21"/>
        <v>19996576</v>
      </c>
      <c r="I164" s="901"/>
    </row>
    <row r="165" spans="4:9" x14ac:dyDescent="0.25">
      <c r="D165" s="974" t="s">
        <v>406</v>
      </c>
      <c r="E165" s="974"/>
      <c r="F165" s="998">
        <f>SUM(F166:G173)</f>
        <v>363559338.5</v>
      </c>
      <c r="G165" s="999"/>
      <c r="H165" s="998">
        <f>SUM(H166:I173)</f>
        <v>225011668</v>
      </c>
      <c r="I165" s="999"/>
    </row>
    <row r="166" spans="4:9" x14ac:dyDescent="0.25">
      <c r="D166" s="978" t="s">
        <v>135</v>
      </c>
      <c r="E166" s="978"/>
      <c r="F166" s="1017">
        <f>C33+G33+K33+C74+G74+K74+C121+G121+K121</f>
        <v>52877000</v>
      </c>
      <c r="G166" s="901"/>
      <c r="H166" s="1017">
        <f>E33+I33+M33+E74+I74+M74+E121+I121+M121</f>
        <v>35685760</v>
      </c>
      <c r="I166" s="901"/>
    </row>
    <row r="167" spans="4:9" ht="28.9" customHeight="1" x14ac:dyDescent="0.25">
      <c r="D167" s="978" t="s">
        <v>136</v>
      </c>
      <c r="E167" s="978"/>
      <c r="F167" s="1017">
        <f t="shared" ref="F167:F172" si="22">C34+G34+K34+C75+G75+K75+C122+G122+K122</f>
        <v>129410906</v>
      </c>
      <c r="G167" s="901"/>
      <c r="H167" s="1017">
        <f t="shared" ref="H167:H172" si="23">E34+I34+M34+E75+I75+M75+E122+I122+M122</f>
        <v>75003404</v>
      </c>
      <c r="I167" s="901"/>
    </row>
    <row r="168" spans="4:9" x14ac:dyDescent="0.25">
      <c r="D168" s="978" t="s">
        <v>137</v>
      </c>
      <c r="E168" s="978"/>
      <c r="F168" s="1017">
        <f t="shared" si="22"/>
        <v>35368000</v>
      </c>
      <c r="G168" s="901"/>
      <c r="H168" s="1017">
        <f t="shared" si="23"/>
        <v>24464060</v>
      </c>
      <c r="I168" s="901"/>
    </row>
    <row r="169" spans="4:9" ht="28.9" customHeight="1" x14ac:dyDescent="0.25">
      <c r="D169" s="978" t="s">
        <v>138</v>
      </c>
      <c r="E169" s="978"/>
      <c r="F169" s="1017">
        <f t="shared" si="22"/>
        <v>36377000</v>
      </c>
      <c r="G169" s="901"/>
      <c r="H169" s="1017">
        <f t="shared" si="23"/>
        <v>21905748</v>
      </c>
      <c r="I169" s="901"/>
    </row>
    <row r="170" spans="4:9" x14ac:dyDescent="0.25">
      <c r="D170" s="978" t="s">
        <v>139</v>
      </c>
      <c r="E170" s="978"/>
      <c r="F170" s="1017">
        <f t="shared" si="22"/>
        <v>44110432.5</v>
      </c>
      <c r="G170" s="901"/>
      <c r="H170" s="1017">
        <f t="shared" si="23"/>
        <v>26341000</v>
      </c>
      <c r="I170" s="901"/>
    </row>
    <row r="171" spans="4:9" x14ac:dyDescent="0.25">
      <c r="D171" s="978" t="s">
        <v>140</v>
      </c>
      <c r="E171" s="978"/>
      <c r="F171" s="1017">
        <f t="shared" si="22"/>
        <v>29472000</v>
      </c>
      <c r="G171" s="901"/>
      <c r="H171" s="1017">
        <f t="shared" si="23"/>
        <v>18618096</v>
      </c>
      <c r="I171" s="901"/>
    </row>
    <row r="172" spans="4:9" x14ac:dyDescent="0.25">
      <c r="D172" s="978" t="s">
        <v>141</v>
      </c>
      <c r="E172" s="978"/>
      <c r="F172" s="1017">
        <f t="shared" si="22"/>
        <v>35944000</v>
      </c>
      <c r="G172" s="901"/>
      <c r="H172" s="1017">
        <f t="shared" si="23"/>
        <v>22993600</v>
      </c>
      <c r="I172" s="901"/>
    </row>
    <row r="173" spans="4:9" ht="28.9" customHeight="1" x14ac:dyDescent="0.25">
      <c r="D173" s="978" t="s">
        <v>395</v>
      </c>
      <c r="E173" s="978"/>
      <c r="F173" s="1017">
        <f>K128</f>
        <v>0</v>
      </c>
      <c r="G173" s="901"/>
      <c r="H173" s="1017">
        <f>M128</f>
        <v>0</v>
      </c>
      <c r="I173" s="901"/>
    </row>
    <row r="174" spans="4:9" x14ac:dyDescent="0.25">
      <c r="D174" s="974" t="s">
        <v>399</v>
      </c>
      <c r="E174" s="974"/>
      <c r="F174" s="998">
        <f>SUM(F175:G183)</f>
        <v>326904000</v>
      </c>
      <c r="G174" s="999"/>
      <c r="H174" s="998">
        <f>SUM(H175:I183)</f>
        <v>233446410</v>
      </c>
      <c r="I174" s="999"/>
    </row>
    <row r="175" spans="4:9" x14ac:dyDescent="0.25">
      <c r="D175" s="978" t="s">
        <v>142</v>
      </c>
      <c r="E175" s="978"/>
      <c r="F175" s="1017">
        <f>C41+G41+K41+C82+G82+K82+C130+G130+K130</f>
        <v>49029000</v>
      </c>
      <c r="G175" s="901"/>
      <c r="H175" s="1017">
        <f>E41+I41+M41+E82+I82+M82+E130+I130+M130</f>
        <v>32162695</v>
      </c>
      <c r="I175" s="901"/>
    </row>
    <row r="176" spans="4:9" x14ac:dyDescent="0.25">
      <c r="D176" s="978" t="s">
        <v>143</v>
      </c>
      <c r="E176" s="978"/>
      <c r="F176" s="1017">
        <f t="shared" ref="F176:F182" si="24">C42+G42+K42+C83+G83+K83+C131+G131+K131</f>
        <v>43556000</v>
      </c>
      <c r="G176" s="901"/>
      <c r="H176" s="1017">
        <f t="shared" ref="H176:H182" si="25">E42+I42+M42+E83+I83+M83+E131+I131+M131</f>
        <v>29571670</v>
      </c>
      <c r="I176" s="901"/>
    </row>
    <row r="177" spans="4:9" x14ac:dyDescent="0.25">
      <c r="D177" s="978" t="s">
        <v>144</v>
      </c>
      <c r="E177" s="978"/>
      <c r="F177" s="1017">
        <f t="shared" si="24"/>
        <v>29949000</v>
      </c>
      <c r="G177" s="901"/>
      <c r="H177" s="1017">
        <f t="shared" si="25"/>
        <v>19677795</v>
      </c>
      <c r="I177" s="901"/>
    </row>
    <row r="178" spans="4:9" x14ac:dyDescent="0.25">
      <c r="D178" s="978" t="s">
        <v>145</v>
      </c>
      <c r="E178" s="978"/>
      <c r="F178" s="1017">
        <f t="shared" si="24"/>
        <v>72930000</v>
      </c>
      <c r="G178" s="901"/>
      <c r="H178" s="1017">
        <f t="shared" si="25"/>
        <v>48126940</v>
      </c>
      <c r="I178" s="901"/>
    </row>
    <row r="179" spans="4:9" x14ac:dyDescent="0.25">
      <c r="D179" s="978" t="s">
        <v>146</v>
      </c>
      <c r="E179" s="978"/>
      <c r="F179" s="1017">
        <f t="shared" si="24"/>
        <v>12465000</v>
      </c>
      <c r="G179" s="901"/>
      <c r="H179" s="1017">
        <f t="shared" si="25"/>
        <v>18226762</v>
      </c>
      <c r="I179" s="901"/>
    </row>
    <row r="180" spans="4:9" x14ac:dyDescent="0.25">
      <c r="D180" s="978" t="s">
        <v>147</v>
      </c>
      <c r="E180" s="978"/>
      <c r="F180" s="1017">
        <f t="shared" si="24"/>
        <v>57505000</v>
      </c>
      <c r="G180" s="901"/>
      <c r="H180" s="1017">
        <f t="shared" si="25"/>
        <v>40030400</v>
      </c>
      <c r="I180" s="901"/>
    </row>
    <row r="181" spans="4:9" x14ac:dyDescent="0.25">
      <c r="D181" s="978" t="s">
        <v>148</v>
      </c>
      <c r="E181" s="978"/>
      <c r="F181" s="1017">
        <f t="shared" si="24"/>
        <v>27447000</v>
      </c>
      <c r="G181" s="901"/>
      <c r="H181" s="1017">
        <f t="shared" si="25"/>
        <v>19128400</v>
      </c>
      <c r="I181" s="901"/>
    </row>
    <row r="182" spans="4:9" x14ac:dyDescent="0.25">
      <c r="D182" s="978" t="s">
        <v>149</v>
      </c>
      <c r="E182" s="978"/>
      <c r="F182" s="1017">
        <f t="shared" si="24"/>
        <v>34023000</v>
      </c>
      <c r="G182" s="901"/>
      <c r="H182" s="1017">
        <f t="shared" si="25"/>
        <v>26521748</v>
      </c>
      <c r="I182" s="901"/>
    </row>
    <row r="183" spans="4:9" ht="28.9" customHeight="1" x14ac:dyDescent="0.25">
      <c r="D183" s="978" t="s">
        <v>396</v>
      </c>
      <c r="E183" s="978"/>
      <c r="F183" s="1017">
        <f>K138</f>
        <v>0</v>
      </c>
      <c r="G183" s="901"/>
      <c r="H183" s="1017">
        <f>M138</f>
        <v>0</v>
      </c>
      <c r="I183" s="901"/>
    </row>
    <row r="184" spans="4:9" ht="31.15" customHeight="1" x14ac:dyDescent="0.25">
      <c r="D184" s="1021" t="s">
        <v>412</v>
      </c>
      <c r="E184" s="1021"/>
      <c r="F184" s="1022">
        <f>F185</f>
        <v>0</v>
      </c>
      <c r="G184" s="1023"/>
      <c r="H184" s="1022">
        <f>H185</f>
        <v>0</v>
      </c>
      <c r="I184" s="1023"/>
    </row>
    <row r="185" spans="4:9" ht="31.15" customHeight="1" x14ac:dyDescent="0.25">
      <c r="D185" s="1015" t="s">
        <v>413</v>
      </c>
      <c r="E185" s="1015"/>
      <c r="F185" s="1017">
        <f>K91</f>
        <v>0</v>
      </c>
      <c r="G185" s="901"/>
      <c r="H185" s="1017">
        <f>M91</f>
        <v>0</v>
      </c>
      <c r="I185" s="901"/>
    </row>
  </sheetData>
  <mergeCells count="162">
    <mergeCell ref="F182:G182"/>
    <mergeCell ref="H182:I182"/>
    <mergeCell ref="F183:G183"/>
    <mergeCell ref="H183:I183"/>
    <mergeCell ref="D184:E184"/>
    <mergeCell ref="D185:E185"/>
    <mergeCell ref="F184:G184"/>
    <mergeCell ref="H184:I184"/>
    <mergeCell ref="F185:G185"/>
    <mergeCell ref="H185:I185"/>
    <mergeCell ref="F179:G179"/>
    <mergeCell ref="H179:I179"/>
    <mergeCell ref="F180:G180"/>
    <mergeCell ref="H180:I180"/>
    <mergeCell ref="F181:G181"/>
    <mergeCell ref="H181:I181"/>
    <mergeCell ref="F176:G176"/>
    <mergeCell ref="H176:I176"/>
    <mergeCell ref="F177:G177"/>
    <mergeCell ref="H177:I177"/>
    <mergeCell ref="F178:G178"/>
    <mergeCell ref="H178:I178"/>
    <mergeCell ref="F173:G173"/>
    <mergeCell ref="H173:I173"/>
    <mergeCell ref="F174:G174"/>
    <mergeCell ref="H174:I174"/>
    <mergeCell ref="F175:G175"/>
    <mergeCell ref="H175:I175"/>
    <mergeCell ref="F170:G170"/>
    <mergeCell ref="H170:I170"/>
    <mergeCell ref="F171:G171"/>
    <mergeCell ref="H171:I171"/>
    <mergeCell ref="F172:G172"/>
    <mergeCell ref="H172:I172"/>
    <mergeCell ref="F167:G167"/>
    <mergeCell ref="H167:I167"/>
    <mergeCell ref="F168:G168"/>
    <mergeCell ref="H168:I168"/>
    <mergeCell ref="F169:G169"/>
    <mergeCell ref="H169:I169"/>
    <mergeCell ref="F164:G164"/>
    <mergeCell ref="H164:I164"/>
    <mergeCell ref="F165:G165"/>
    <mergeCell ref="H165:I165"/>
    <mergeCell ref="F166:G166"/>
    <mergeCell ref="H166:I166"/>
    <mergeCell ref="F161:G161"/>
    <mergeCell ref="H161:I161"/>
    <mergeCell ref="F162:G162"/>
    <mergeCell ref="H162:I162"/>
    <mergeCell ref="F163:G163"/>
    <mergeCell ref="H163:I163"/>
    <mergeCell ref="F158:G158"/>
    <mergeCell ref="H158:I158"/>
    <mergeCell ref="F159:G159"/>
    <mergeCell ref="H159:I159"/>
    <mergeCell ref="F160:G160"/>
    <mergeCell ref="H160:I160"/>
    <mergeCell ref="F149:G149"/>
    <mergeCell ref="H149:I149"/>
    <mergeCell ref="F156:G156"/>
    <mergeCell ref="H156:I156"/>
    <mergeCell ref="F157:G157"/>
    <mergeCell ref="H157:I157"/>
    <mergeCell ref="F153:G153"/>
    <mergeCell ref="H153:I153"/>
    <mergeCell ref="F154:G154"/>
    <mergeCell ref="H154:I154"/>
    <mergeCell ref="F155:G155"/>
    <mergeCell ref="H155:I155"/>
    <mergeCell ref="D181:E181"/>
    <mergeCell ref="D182:E182"/>
    <mergeCell ref="D183:E183"/>
    <mergeCell ref="F142:I142"/>
    <mergeCell ref="F143:G144"/>
    <mergeCell ref="H143:I144"/>
    <mergeCell ref="F145:G145"/>
    <mergeCell ref="H145:I145"/>
    <mergeCell ref="F146:G146"/>
    <mergeCell ref="H146:I146"/>
    <mergeCell ref="D175:E175"/>
    <mergeCell ref="D176:E176"/>
    <mergeCell ref="D177:E177"/>
    <mergeCell ref="D178:E178"/>
    <mergeCell ref="D179:E179"/>
    <mergeCell ref="D180:E180"/>
    <mergeCell ref="D169:E169"/>
    <mergeCell ref="D170:E170"/>
    <mergeCell ref="D171:E171"/>
    <mergeCell ref="D172:E172"/>
    <mergeCell ref="D173:E173"/>
    <mergeCell ref="D174:E174"/>
    <mergeCell ref="D163:E163"/>
    <mergeCell ref="D164:E164"/>
    <mergeCell ref="D165:E165"/>
    <mergeCell ref="D166:E166"/>
    <mergeCell ref="D167:E167"/>
    <mergeCell ref="D168:E168"/>
    <mergeCell ref="D157:E157"/>
    <mergeCell ref="D158:E158"/>
    <mergeCell ref="D159:E159"/>
    <mergeCell ref="D160:E160"/>
    <mergeCell ref="D161:E161"/>
    <mergeCell ref="D162:E162"/>
    <mergeCell ref="L51:M51"/>
    <mergeCell ref="D151:E151"/>
    <mergeCell ref="D152:E152"/>
    <mergeCell ref="D153:E153"/>
    <mergeCell ref="D154:E154"/>
    <mergeCell ref="D155:E155"/>
    <mergeCell ref="D156:E156"/>
    <mergeCell ref="D142:E144"/>
    <mergeCell ref="D145:E145"/>
    <mergeCell ref="D146:E146"/>
    <mergeCell ref="D147:E147"/>
    <mergeCell ref="D148:E148"/>
    <mergeCell ref="D149:E149"/>
    <mergeCell ref="D150:E150"/>
    <mergeCell ref="F150:G150"/>
    <mergeCell ref="H150:I150"/>
    <mergeCell ref="F151:G151"/>
    <mergeCell ref="H151:I151"/>
    <mergeCell ref="F152:G152"/>
    <mergeCell ref="H152:I152"/>
    <mergeCell ref="F147:G147"/>
    <mergeCell ref="H147:I147"/>
    <mergeCell ref="F148:G148"/>
    <mergeCell ref="H148:I148"/>
    <mergeCell ref="A97:A99"/>
    <mergeCell ref="B97:E97"/>
    <mergeCell ref="F97:I97"/>
    <mergeCell ref="J97:M97"/>
    <mergeCell ref="B98:C98"/>
    <mergeCell ref="D10:E10"/>
    <mergeCell ref="F10:G10"/>
    <mergeCell ref="H10:I10"/>
    <mergeCell ref="J10:K10"/>
    <mergeCell ref="L10:M10"/>
    <mergeCell ref="A50:A52"/>
    <mergeCell ref="B50:E50"/>
    <mergeCell ref="F50:I50"/>
    <mergeCell ref="J50:M50"/>
    <mergeCell ref="B51:C51"/>
    <mergeCell ref="D98:E98"/>
    <mergeCell ref="F98:G98"/>
    <mergeCell ref="H98:I98"/>
    <mergeCell ref="J98:K98"/>
    <mergeCell ref="L98:M98"/>
    <mergeCell ref="D51:E51"/>
    <mergeCell ref="F51:G51"/>
    <mergeCell ref="H51:I51"/>
    <mergeCell ref="J51:K51"/>
    <mergeCell ref="A1:M1"/>
    <mergeCell ref="A2:M2"/>
    <mergeCell ref="A3:M3"/>
    <mergeCell ref="A5:M5"/>
    <mergeCell ref="A6:M6"/>
    <mergeCell ref="A9:A11"/>
    <mergeCell ref="B9:E9"/>
    <mergeCell ref="F9:I9"/>
    <mergeCell ref="J9:M9"/>
    <mergeCell ref="B10:C10"/>
  </mergeCells>
  <pageMargins left="0.43" right="0.15748031496063" top="0.7" bottom="0.62" header="0.55118110236220497" footer="0.37"/>
  <pageSetup paperSize="9" scale="60" orientation="landscape" r:id="rId1"/>
  <headerFooter>
    <oddFooter>&amp;LPrograms/Projects Implemented 
in the Province of Nueva Ecija&amp;CPage &amp;P of &amp;N</oddFooter>
  </headerFooter>
  <rowBreaks count="3" manualBreakCount="3">
    <brk id="49" max="12" man="1"/>
    <brk id="96" max="12" man="1"/>
    <brk id="14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63"/>
  <sheetViews>
    <sheetView view="pageBreakPreview" topLeftCell="A3" zoomScale="70" zoomScaleNormal="80" zoomScaleSheetLayoutView="70" workbookViewId="0">
      <selection activeCell="M36" sqref="M36"/>
    </sheetView>
  </sheetViews>
  <sheetFormatPr defaultRowHeight="15" x14ac:dyDescent="0.25"/>
  <cols>
    <col min="1" max="1" width="14.28515625" customWidth="1"/>
    <col min="2" max="2" width="13" customWidth="1"/>
    <col min="3" max="3" width="25.42578125" style="97" customWidth="1"/>
    <col min="4" max="4" width="14.85546875" style="97" customWidth="1"/>
    <col min="5" max="5" width="26.140625" style="97" customWidth="1"/>
    <col min="6" max="6" width="9.5703125" customWidth="1"/>
    <col min="7" max="7" width="22.28515625" customWidth="1"/>
    <col min="8" max="8" width="11" customWidth="1"/>
    <col min="9" max="9" width="22.85546875" style="97" customWidth="1"/>
    <col min="10" max="10" width="11.5703125" customWidth="1"/>
    <col min="11" max="11" width="24.7109375" style="97" customWidth="1"/>
    <col min="12" max="12" width="11.42578125" customWidth="1"/>
    <col min="13" max="13" width="23.42578125" style="97" customWidth="1"/>
    <col min="14" max="14" width="17.42578125" customWidth="1"/>
    <col min="16" max="16" width="18.140625" customWidth="1"/>
    <col min="18" max="18" width="15.42578125" customWidth="1"/>
    <col min="20" max="20" width="15.42578125" customWidth="1"/>
  </cols>
  <sheetData>
    <row r="1" spans="1:13" ht="18.75" x14ac:dyDescent="0.3">
      <c r="A1" s="1006" t="s">
        <v>39</v>
      </c>
      <c r="B1" s="1006"/>
      <c r="C1" s="1006"/>
      <c r="D1" s="1006"/>
      <c r="E1" s="1006"/>
      <c r="F1" s="1006"/>
      <c r="G1" s="1006"/>
      <c r="H1" s="1006"/>
      <c r="I1" s="1006"/>
      <c r="J1" s="1006"/>
      <c r="K1" s="1006"/>
      <c r="L1" s="1006"/>
      <c r="M1" s="1006"/>
    </row>
    <row r="2" spans="1:13" ht="18.75" x14ac:dyDescent="0.3">
      <c r="A2" s="1006" t="s">
        <v>40</v>
      </c>
      <c r="B2" s="1006"/>
      <c r="C2" s="1006"/>
      <c r="D2" s="1006"/>
      <c r="E2" s="1006"/>
      <c r="F2" s="1006"/>
      <c r="G2" s="1006"/>
      <c r="H2" s="1006"/>
      <c r="I2" s="1006"/>
      <c r="J2" s="1006"/>
      <c r="K2" s="1006"/>
      <c r="L2" s="1006"/>
      <c r="M2" s="1006"/>
    </row>
    <row r="3" spans="1:13" ht="18.75" x14ac:dyDescent="0.3">
      <c r="A3" s="1006" t="s">
        <v>302</v>
      </c>
      <c r="B3" s="1006"/>
      <c r="C3" s="1006"/>
      <c r="D3" s="1006"/>
      <c r="E3" s="1006"/>
      <c r="F3" s="1006"/>
      <c r="G3" s="1006"/>
      <c r="H3" s="1006"/>
      <c r="I3" s="1006"/>
      <c r="J3" s="1006"/>
      <c r="K3" s="1006"/>
      <c r="L3" s="1006"/>
      <c r="M3" s="1006"/>
    </row>
    <row r="4" spans="1:13" ht="18.75" x14ac:dyDescent="0.3">
      <c r="A4" s="518"/>
      <c r="B4" s="518"/>
      <c r="C4" s="519"/>
      <c r="D4" s="519"/>
      <c r="E4" s="519"/>
      <c r="F4" s="518"/>
      <c r="G4" s="518"/>
      <c r="H4" s="518"/>
      <c r="I4" s="519"/>
      <c r="J4" s="518"/>
      <c r="K4" s="519"/>
      <c r="L4" s="518"/>
      <c r="M4" s="519"/>
    </row>
    <row r="5" spans="1:13" ht="18" x14ac:dyDescent="0.35">
      <c r="A5" s="911" t="s">
        <v>346</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568"/>
      <c r="B7" s="568"/>
      <c r="C7" s="568"/>
      <c r="D7" s="568"/>
      <c r="E7" s="754"/>
      <c r="F7" s="568"/>
      <c r="G7" s="568"/>
      <c r="H7" s="568"/>
      <c r="I7" s="568"/>
      <c r="J7" s="568"/>
      <c r="K7" s="568"/>
      <c r="L7" s="568"/>
      <c r="M7" s="568"/>
    </row>
    <row r="8" spans="1:13" s="489" customFormat="1" ht="21" x14ac:dyDescent="0.35">
      <c r="A8" s="491" t="s">
        <v>347</v>
      </c>
      <c r="B8" s="491"/>
      <c r="C8" s="520"/>
      <c r="D8" s="491"/>
      <c r="E8" s="520"/>
      <c r="F8" s="491"/>
      <c r="G8" s="520"/>
      <c r="H8" s="491"/>
      <c r="I8" s="520"/>
      <c r="J8" s="491"/>
      <c r="K8" s="520"/>
      <c r="L8" s="491"/>
    </row>
    <row r="9" spans="1:13" s="48" customFormat="1" ht="43.5" customHeight="1" x14ac:dyDescent="0.25">
      <c r="A9" s="1007" t="s">
        <v>3</v>
      </c>
      <c r="B9" s="1008" t="s">
        <v>5</v>
      </c>
      <c r="C9" s="1009"/>
      <c r="D9" s="1009"/>
      <c r="E9" s="1010"/>
      <c r="F9" s="1008" t="s">
        <v>7</v>
      </c>
      <c r="G9" s="1009"/>
      <c r="H9" s="1009"/>
      <c r="I9" s="1010"/>
      <c r="J9" s="1008" t="s">
        <v>306</v>
      </c>
      <c r="K9" s="1009"/>
      <c r="L9" s="1009"/>
      <c r="M9" s="1010"/>
    </row>
    <row r="10" spans="1:13" ht="17.25" customHeight="1" x14ac:dyDescent="0.25">
      <c r="A10" s="1007"/>
      <c r="B10" s="1011" t="s">
        <v>327</v>
      </c>
      <c r="C10" s="1011"/>
      <c r="D10" s="1013" t="s">
        <v>333</v>
      </c>
      <c r="E10" s="1014"/>
      <c r="F10" s="1011" t="s">
        <v>327</v>
      </c>
      <c r="G10" s="1011"/>
      <c r="H10" s="1013" t="s">
        <v>333</v>
      </c>
      <c r="I10" s="1014"/>
      <c r="J10" s="1011" t="s">
        <v>327</v>
      </c>
      <c r="K10" s="1011"/>
      <c r="L10" s="1013" t="s">
        <v>333</v>
      </c>
      <c r="M10" s="1014"/>
    </row>
    <row r="11" spans="1:13" s="343" customFormat="1" ht="46.5" customHeight="1" x14ac:dyDescent="0.25">
      <c r="A11" s="1007"/>
      <c r="B11" s="365" t="s">
        <v>307</v>
      </c>
      <c r="C11" s="521" t="s">
        <v>60</v>
      </c>
      <c r="D11" s="365" t="s">
        <v>307</v>
      </c>
      <c r="E11" s="366" t="s">
        <v>305</v>
      </c>
      <c r="F11" s="365" t="s">
        <v>308</v>
      </c>
      <c r="G11" s="522" t="s">
        <v>60</v>
      </c>
      <c r="H11" s="365" t="s">
        <v>308</v>
      </c>
      <c r="I11" s="366" t="s">
        <v>305</v>
      </c>
      <c r="J11" s="365" t="s">
        <v>309</v>
      </c>
      <c r="K11" s="521" t="s">
        <v>60</v>
      </c>
      <c r="L11" s="365" t="s">
        <v>309</v>
      </c>
      <c r="M11" s="521" t="s">
        <v>305</v>
      </c>
    </row>
    <row r="12" spans="1:13" ht="20.25" customHeight="1" x14ac:dyDescent="0.25">
      <c r="A12" s="642" t="s">
        <v>81</v>
      </c>
      <c r="B12" s="643">
        <f t="shared" ref="B12:M12" si="0">SUM(B13:B21)</f>
        <v>30139</v>
      </c>
      <c r="C12" s="644">
        <f t="shared" si="0"/>
        <v>452085000</v>
      </c>
      <c r="D12" s="643">
        <f t="shared" si="0"/>
        <v>29022</v>
      </c>
      <c r="E12" s="644">
        <f t="shared" si="0"/>
        <v>284717700</v>
      </c>
      <c r="F12" s="643">
        <f t="shared" si="0"/>
        <v>1190</v>
      </c>
      <c r="G12" s="644">
        <f t="shared" si="0"/>
        <v>11900000</v>
      </c>
      <c r="H12" s="643">
        <f t="shared" si="0"/>
        <v>402</v>
      </c>
      <c r="I12" s="644">
        <f t="shared" si="0"/>
        <v>2504000</v>
      </c>
      <c r="J12" s="643">
        <f t="shared" si="0"/>
        <v>8700</v>
      </c>
      <c r="K12" s="644">
        <f t="shared" si="0"/>
        <v>13572000</v>
      </c>
      <c r="L12" s="645">
        <f t="shared" si="0"/>
        <v>11031</v>
      </c>
      <c r="M12" s="644">
        <f t="shared" si="0"/>
        <v>14703704</v>
      </c>
    </row>
    <row r="13" spans="1:13" ht="20.25" customHeight="1" x14ac:dyDescent="0.25">
      <c r="A13" s="626" t="s">
        <v>118</v>
      </c>
      <c r="B13" s="424">
        <v>3407</v>
      </c>
      <c r="C13" s="412">
        <f t="shared" ref="C13:C21" si="1">B13*15000</f>
        <v>51105000</v>
      </c>
      <c r="D13" s="774">
        <v>3140</v>
      </c>
      <c r="E13" s="777">
        <v>31479000</v>
      </c>
      <c r="F13" s="734">
        <v>150</v>
      </c>
      <c r="G13" s="384">
        <f>F13*10000</f>
        <v>1500000</v>
      </c>
      <c r="H13" s="743">
        <v>30</v>
      </c>
      <c r="I13" s="1075">
        <v>150000</v>
      </c>
      <c r="J13" s="735">
        <v>1000</v>
      </c>
      <c r="K13" s="736">
        <f>J13*1560</f>
        <v>1560000</v>
      </c>
      <c r="L13" s="533">
        <v>1056</v>
      </c>
      <c r="M13" s="534">
        <v>1372800</v>
      </c>
    </row>
    <row r="14" spans="1:13" ht="20.25" customHeight="1" x14ac:dyDescent="0.25">
      <c r="A14" s="626" t="s">
        <v>119</v>
      </c>
      <c r="B14" s="424">
        <v>3689</v>
      </c>
      <c r="C14" s="412">
        <f t="shared" si="1"/>
        <v>55335000</v>
      </c>
      <c r="D14" s="765">
        <v>3536</v>
      </c>
      <c r="E14" s="661">
        <v>34958900</v>
      </c>
      <c r="F14" s="734">
        <v>120</v>
      </c>
      <c r="G14" s="384">
        <f t="shared" ref="G14:G21" si="2">F14*10000</f>
        <v>1200000</v>
      </c>
      <c r="H14" s="743"/>
      <c r="I14" s="1075"/>
      <c r="J14" s="733">
        <v>1700</v>
      </c>
      <c r="K14" s="736">
        <f t="shared" ref="K14:K21" si="3">J14*1560</f>
        <v>2652000</v>
      </c>
      <c r="L14" s="533">
        <v>1637</v>
      </c>
      <c r="M14" s="534">
        <v>2573364</v>
      </c>
    </row>
    <row r="15" spans="1:13" ht="20.25" customHeight="1" x14ac:dyDescent="0.25">
      <c r="A15" s="626" t="s">
        <v>120</v>
      </c>
      <c r="B15" s="424">
        <v>6417</v>
      </c>
      <c r="C15" s="412">
        <f t="shared" si="1"/>
        <v>96255000</v>
      </c>
      <c r="D15" s="774">
        <v>6171</v>
      </c>
      <c r="E15" s="777">
        <v>60589200</v>
      </c>
      <c r="F15" s="734">
        <v>120</v>
      </c>
      <c r="G15" s="384">
        <f t="shared" si="2"/>
        <v>1200000</v>
      </c>
      <c r="H15" s="743">
        <v>66</v>
      </c>
      <c r="I15" s="1075">
        <v>405000</v>
      </c>
      <c r="J15" s="733"/>
      <c r="K15" s="736">
        <f t="shared" si="3"/>
        <v>0</v>
      </c>
      <c r="L15" s="533">
        <v>2558</v>
      </c>
      <c r="M15" s="534">
        <v>4021176</v>
      </c>
    </row>
    <row r="16" spans="1:13" ht="20.25" customHeight="1" x14ac:dyDescent="0.25">
      <c r="A16" s="626" t="s">
        <v>121</v>
      </c>
      <c r="B16" s="424">
        <v>1875</v>
      </c>
      <c r="C16" s="412">
        <f t="shared" si="1"/>
        <v>28125000</v>
      </c>
      <c r="D16" s="774">
        <v>1845</v>
      </c>
      <c r="E16" s="777">
        <v>18783300</v>
      </c>
      <c r="F16" s="734"/>
      <c r="G16" s="384">
        <f t="shared" si="2"/>
        <v>0</v>
      </c>
      <c r="H16" s="749">
        <v>2</v>
      </c>
      <c r="I16" s="1076">
        <v>16000</v>
      </c>
      <c r="J16" s="733">
        <v>500</v>
      </c>
      <c r="K16" s="736">
        <f t="shared" si="3"/>
        <v>780000</v>
      </c>
      <c r="L16" s="533">
        <v>502</v>
      </c>
      <c r="M16" s="534">
        <v>789144</v>
      </c>
    </row>
    <row r="17" spans="1:13" ht="20.25" customHeight="1" x14ac:dyDescent="0.25">
      <c r="A17" s="626" t="s">
        <v>122</v>
      </c>
      <c r="B17" s="424">
        <v>847</v>
      </c>
      <c r="C17" s="412">
        <f t="shared" si="1"/>
        <v>12705000</v>
      </c>
      <c r="D17" s="774">
        <v>839</v>
      </c>
      <c r="E17" s="777">
        <v>8118200</v>
      </c>
      <c r="F17" s="734"/>
      <c r="G17" s="384">
        <f t="shared" si="2"/>
        <v>0</v>
      </c>
      <c r="H17" s="743"/>
      <c r="I17" s="1075"/>
      <c r="J17" s="733">
        <v>300</v>
      </c>
      <c r="K17" s="736">
        <f t="shared" si="3"/>
        <v>468000</v>
      </c>
      <c r="L17" s="533">
        <v>300</v>
      </c>
      <c r="M17" s="534">
        <v>54600</v>
      </c>
    </row>
    <row r="18" spans="1:13" ht="20.25" customHeight="1" x14ac:dyDescent="0.25">
      <c r="A18" s="626" t="s">
        <v>123</v>
      </c>
      <c r="B18" s="424">
        <v>2900</v>
      </c>
      <c r="C18" s="412">
        <f t="shared" si="1"/>
        <v>43500000</v>
      </c>
      <c r="D18" s="774">
        <v>2860</v>
      </c>
      <c r="E18" s="777">
        <v>27096800</v>
      </c>
      <c r="F18" s="734">
        <v>150</v>
      </c>
      <c r="G18" s="384">
        <f t="shared" si="2"/>
        <v>1500000</v>
      </c>
      <c r="H18" s="743">
        <v>32</v>
      </c>
      <c r="I18" s="1075">
        <v>313000</v>
      </c>
      <c r="J18" s="733">
        <v>900</v>
      </c>
      <c r="K18" s="736">
        <f t="shared" si="3"/>
        <v>1404000</v>
      </c>
      <c r="L18" s="533">
        <v>725</v>
      </c>
      <c r="M18" s="534">
        <v>461825</v>
      </c>
    </row>
    <row r="19" spans="1:13" s="343" customFormat="1" ht="20.25" customHeight="1" x14ac:dyDescent="0.25">
      <c r="A19" s="658" t="s">
        <v>124</v>
      </c>
      <c r="B19" s="424">
        <v>2641</v>
      </c>
      <c r="C19" s="412">
        <f t="shared" si="1"/>
        <v>39615000</v>
      </c>
      <c r="D19" s="774">
        <v>2485</v>
      </c>
      <c r="E19" s="777">
        <v>24512100</v>
      </c>
      <c r="F19" s="734"/>
      <c r="G19" s="384">
        <f t="shared" si="2"/>
        <v>0</v>
      </c>
      <c r="H19" s="743">
        <v>35</v>
      </c>
      <c r="I19" s="1075">
        <v>175000</v>
      </c>
      <c r="J19" s="733">
        <v>1100</v>
      </c>
      <c r="K19" s="736">
        <f t="shared" si="3"/>
        <v>1716000</v>
      </c>
      <c r="L19" s="659">
        <v>1061</v>
      </c>
      <c r="M19" s="660">
        <v>689650</v>
      </c>
    </row>
    <row r="20" spans="1:13" ht="20.25" customHeight="1" x14ac:dyDescent="0.25">
      <c r="A20" s="626" t="s">
        <v>125</v>
      </c>
      <c r="B20" s="424">
        <v>6025</v>
      </c>
      <c r="C20" s="412">
        <f t="shared" si="1"/>
        <v>90375000</v>
      </c>
      <c r="D20" s="774">
        <v>5969</v>
      </c>
      <c r="E20" s="777">
        <v>56991400</v>
      </c>
      <c r="F20" s="734">
        <v>500</v>
      </c>
      <c r="G20" s="384">
        <f t="shared" si="2"/>
        <v>5000000</v>
      </c>
      <c r="H20" s="749">
        <v>217</v>
      </c>
      <c r="I20" s="1076">
        <v>1245000</v>
      </c>
      <c r="J20" s="733">
        <v>2500</v>
      </c>
      <c r="K20" s="736">
        <f t="shared" si="3"/>
        <v>3900000</v>
      </c>
      <c r="L20" s="533">
        <v>2371</v>
      </c>
      <c r="M20" s="534">
        <v>3727210</v>
      </c>
    </row>
    <row r="21" spans="1:13" ht="20.25" customHeight="1" x14ac:dyDescent="0.25">
      <c r="A21" s="626" t="s">
        <v>126</v>
      </c>
      <c r="B21" s="424">
        <v>2338</v>
      </c>
      <c r="C21" s="412">
        <f t="shared" si="1"/>
        <v>35070000</v>
      </c>
      <c r="D21" s="774">
        <v>2177</v>
      </c>
      <c r="E21" s="777">
        <v>22188800</v>
      </c>
      <c r="F21" s="734">
        <v>150</v>
      </c>
      <c r="G21" s="384">
        <f t="shared" si="2"/>
        <v>1500000</v>
      </c>
      <c r="H21" s="743">
        <v>20</v>
      </c>
      <c r="I21" s="1075">
        <v>200000</v>
      </c>
      <c r="J21" s="733">
        <v>700</v>
      </c>
      <c r="K21" s="736">
        <f t="shared" si="3"/>
        <v>1092000</v>
      </c>
      <c r="L21" s="533">
        <v>821</v>
      </c>
      <c r="M21" s="534">
        <v>1013935</v>
      </c>
    </row>
    <row r="22" spans="1:13" ht="15.75" x14ac:dyDescent="0.25">
      <c r="A22" s="540"/>
      <c r="B22" s="541"/>
      <c r="C22" s="542"/>
      <c r="D22" s="543"/>
      <c r="E22" s="544"/>
      <c r="F22" s="545"/>
      <c r="G22" s="546"/>
      <c r="H22" s="547"/>
      <c r="I22" s="548"/>
      <c r="J22" s="549"/>
      <c r="K22" s="544"/>
      <c r="L22" s="550"/>
      <c r="M22" s="551"/>
    </row>
    <row r="23" spans="1:13" s="48" customFormat="1" ht="33.75" customHeight="1" x14ac:dyDescent="0.25">
      <c r="A23" s="1007" t="s">
        <v>3</v>
      </c>
      <c r="B23" s="1008" t="s">
        <v>16</v>
      </c>
      <c r="C23" s="1009"/>
      <c r="D23" s="1009"/>
      <c r="E23" s="1010"/>
      <c r="F23" s="913" t="s">
        <v>421</v>
      </c>
      <c r="G23" s="914"/>
      <c r="H23" s="914"/>
      <c r="I23" s="915"/>
      <c r="J23" s="1008" t="s">
        <v>329</v>
      </c>
      <c r="K23" s="1009"/>
      <c r="L23" s="1009"/>
      <c r="M23" s="1010"/>
    </row>
    <row r="24" spans="1:13" ht="15.75" customHeight="1" x14ac:dyDescent="0.25">
      <c r="A24" s="1007"/>
      <c r="B24" s="1011" t="s">
        <v>327</v>
      </c>
      <c r="C24" s="1011"/>
      <c r="D24" s="1013" t="s">
        <v>333</v>
      </c>
      <c r="E24" s="1014"/>
      <c r="F24" s="1011" t="s">
        <v>327</v>
      </c>
      <c r="G24" s="1011"/>
      <c r="H24" s="1013" t="s">
        <v>333</v>
      </c>
      <c r="I24" s="1014"/>
      <c r="J24" s="1011" t="s">
        <v>327</v>
      </c>
      <c r="K24" s="1011"/>
      <c r="L24" s="1013" t="s">
        <v>333</v>
      </c>
      <c r="M24" s="1014"/>
    </row>
    <row r="25" spans="1:13" ht="39.75" customHeight="1" x14ac:dyDescent="0.25">
      <c r="A25" s="1007"/>
      <c r="B25" s="365" t="s">
        <v>330</v>
      </c>
      <c r="C25" s="521" t="s">
        <v>60</v>
      </c>
      <c r="D25" s="365" t="s">
        <v>330</v>
      </c>
      <c r="E25" s="366" t="s">
        <v>305</v>
      </c>
      <c r="F25" s="365" t="s">
        <v>253</v>
      </c>
      <c r="G25" s="522" t="s">
        <v>60</v>
      </c>
      <c r="H25" s="365" t="s">
        <v>253</v>
      </c>
      <c r="I25" s="521" t="s">
        <v>305</v>
      </c>
      <c r="J25" s="365" t="s">
        <v>310</v>
      </c>
      <c r="K25" s="521" t="s">
        <v>60</v>
      </c>
      <c r="L25" s="365" t="s">
        <v>310</v>
      </c>
      <c r="M25" s="366" t="s">
        <v>305</v>
      </c>
    </row>
    <row r="26" spans="1:13" ht="21" customHeight="1" x14ac:dyDescent="0.25">
      <c r="A26" s="523" t="s">
        <v>81</v>
      </c>
      <c r="B26" s="524">
        <f t="shared" ref="B26:M26" si="4">SUM(B27:B35)</f>
        <v>3924</v>
      </c>
      <c r="C26" s="525">
        <f t="shared" si="4"/>
        <v>23544000</v>
      </c>
      <c r="D26" s="524">
        <f t="shared" si="4"/>
        <v>5444</v>
      </c>
      <c r="E26" s="525">
        <f t="shared" si="4"/>
        <v>32664000</v>
      </c>
      <c r="F26" s="524">
        <f t="shared" si="4"/>
        <v>13</v>
      </c>
      <c r="G26" s="525">
        <f t="shared" si="4"/>
        <v>10331498.539999999</v>
      </c>
      <c r="H26" s="524">
        <f t="shared" si="4"/>
        <v>0</v>
      </c>
      <c r="I26" s="525">
        <f t="shared" si="4"/>
        <v>0</v>
      </c>
      <c r="J26" s="524">
        <f t="shared" si="4"/>
        <v>0</v>
      </c>
      <c r="K26" s="525">
        <f t="shared" si="4"/>
        <v>0</v>
      </c>
      <c r="L26" s="526">
        <f t="shared" si="4"/>
        <v>2178</v>
      </c>
      <c r="M26" s="525">
        <f t="shared" si="4"/>
        <v>4909600</v>
      </c>
    </row>
    <row r="27" spans="1:13" ht="21" customHeight="1" x14ac:dyDescent="0.25">
      <c r="A27" s="527" t="s">
        <v>118</v>
      </c>
      <c r="B27" s="735">
        <v>435</v>
      </c>
      <c r="C27" s="686">
        <f t="shared" ref="C27:C35" si="5">B27*500*12</f>
        <v>2610000</v>
      </c>
      <c r="D27" s="647">
        <v>761</v>
      </c>
      <c r="E27" s="344">
        <f>D27*6000</f>
        <v>4566000</v>
      </c>
      <c r="F27" s="734"/>
      <c r="G27" s="737"/>
      <c r="H27" s="363"/>
      <c r="I27" s="530"/>
      <c r="J27" s="536"/>
      <c r="K27" s="537"/>
      <c r="L27" s="739">
        <v>318</v>
      </c>
      <c r="M27" s="740">
        <v>730000</v>
      </c>
    </row>
    <row r="28" spans="1:13" ht="21" customHeight="1" x14ac:dyDescent="0.25">
      <c r="A28" s="527" t="s">
        <v>119</v>
      </c>
      <c r="B28" s="735">
        <v>477</v>
      </c>
      <c r="C28" s="686">
        <f t="shared" si="5"/>
        <v>2862000</v>
      </c>
      <c r="D28" s="101">
        <v>686</v>
      </c>
      <c r="E28" s="344">
        <f t="shared" ref="E28:E35" si="6">D28*6000</f>
        <v>4116000</v>
      </c>
      <c r="F28" s="734"/>
      <c r="G28" s="737"/>
      <c r="H28" s="363"/>
      <c r="I28" s="530"/>
      <c r="J28" s="536"/>
      <c r="K28" s="537"/>
      <c r="L28" s="739">
        <v>103</v>
      </c>
      <c r="M28" s="740">
        <v>242000</v>
      </c>
    </row>
    <row r="29" spans="1:13" ht="21" customHeight="1" x14ac:dyDescent="0.25">
      <c r="A29" s="527" t="s">
        <v>120</v>
      </c>
      <c r="B29" s="735">
        <v>511</v>
      </c>
      <c r="C29" s="686">
        <f t="shared" si="5"/>
        <v>3066000</v>
      </c>
      <c r="D29" s="101">
        <v>589</v>
      </c>
      <c r="E29" s="344">
        <f t="shared" si="6"/>
        <v>3534000</v>
      </c>
      <c r="F29" s="734"/>
      <c r="G29" s="737"/>
      <c r="H29" s="363"/>
      <c r="I29" s="530"/>
      <c r="J29" s="536"/>
      <c r="K29" s="537"/>
      <c r="L29" s="739">
        <v>327</v>
      </c>
      <c r="M29" s="740">
        <v>627500</v>
      </c>
    </row>
    <row r="30" spans="1:13" ht="21" customHeight="1" x14ac:dyDescent="0.25">
      <c r="A30" s="527" t="s">
        <v>121</v>
      </c>
      <c r="B30" s="735">
        <v>396</v>
      </c>
      <c r="C30" s="686">
        <f t="shared" si="5"/>
        <v>2376000</v>
      </c>
      <c r="D30" s="101">
        <v>492</v>
      </c>
      <c r="E30" s="344">
        <f t="shared" si="6"/>
        <v>2952000</v>
      </c>
      <c r="F30" s="734"/>
      <c r="G30" s="737"/>
      <c r="H30" s="363"/>
      <c r="I30" s="530"/>
      <c r="J30" s="536"/>
      <c r="K30" s="537"/>
      <c r="L30" s="739">
        <v>231</v>
      </c>
      <c r="M30" s="740">
        <v>365000</v>
      </c>
    </row>
    <row r="31" spans="1:13" ht="21" customHeight="1" x14ac:dyDescent="0.25">
      <c r="A31" s="527" t="s">
        <v>122</v>
      </c>
      <c r="B31" s="735">
        <v>344</v>
      </c>
      <c r="C31" s="686">
        <f t="shared" si="5"/>
        <v>2064000</v>
      </c>
      <c r="D31" s="647">
        <v>450</v>
      </c>
      <c r="E31" s="344">
        <f t="shared" si="6"/>
        <v>2700000</v>
      </c>
      <c r="F31" s="734">
        <f>1</f>
        <v>1</v>
      </c>
      <c r="G31" s="737">
        <f>500000</f>
        <v>500000</v>
      </c>
      <c r="H31" s="363"/>
      <c r="I31" s="530"/>
      <c r="J31" s="536"/>
      <c r="K31" s="537"/>
      <c r="L31" s="739">
        <v>25</v>
      </c>
      <c r="M31" s="740">
        <v>53500</v>
      </c>
    </row>
    <row r="32" spans="1:13" ht="21" customHeight="1" x14ac:dyDescent="0.25">
      <c r="A32" s="527" t="s">
        <v>123</v>
      </c>
      <c r="B32" s="735">
        <v>383</v>
      </c>
      <c r="C32" s="686">
        <f t="shared" si="5"/>
        <v>2298000</v>
      </c>
      <c r="D32" s="101">
        <v>515</v>
      </c>
      <c r="E32" s="344">
        <f t="shared" si="6"/>
        <v>3090000</v>
      </c>
      <c r="F32" s="734">
        <f>2</f>
        <v>2</v>
      </c>
      <c r="G32" s="737">
        <f>991131.54+693567</f>
        <v>1684698.54</v>
      </c>
      <c r="H32" s="363"/>
      <c r="I32" s="530"/>
      <c r="J32" s="536"/>
      <c r="K32" s="537"/>
      <c r="L32" s="739">
        <v>171</v>
      </c>
      <c r="M32" s="740">
        <v>396000</v>
      </c>
    </row>
    <row r="33" spans="1:13" s="343" customFormat="1" ht="21" customHeight="1" x14ac:dyDescent="0.25">
      <c r="A33" s="658" t="s">
        <v>124</v>
      </c>
      <c r="B33" s="735">
        <v>406</v>
      </c>
      <c r="C33" s="686">
        <f t="shared" si="5"/>
        <v>2436000</v>
      </c>
      <c r="D33" s="649">
        <v>502</v>
      </c>
      <c r="E33" s="344">
        <f t="shared" si="6"/>
        <v>3012000</v>
      </c>
      <c r="F33" s="734">
        <v>3</v>
      </c>
      <c r="G33" s="737">
        <f>1000000+1000000+746800</f>
        <v>2746800</v>
      </c>
      <c r="H33" s="363"/>
      <c r="I33" s="530"/>
      <c r="J33" s="536"/>
      <c r="K33" s="537"/>
      <c r="L33" s="739">
        <v>341</v>
      </c>
      <c r="M33" s="740">
        <v>741500</v>
      </c>
    </row>
    <row r="34" spans="1:13" ht="21" customHeight="1" x14ac:dyDescent="0.25">
      <c r="A34" s="527" t="s">
        <v>125</v>
      </c>
      <c r="B34" s="735">
        <v>589</v>
      </c>
      <c r="C34" s="686">
        <f t="shared" si="5"/>
        <v>3534000</v>
      </c>
      <c r="D34" s="101">
        <v>915</v>
      </c>
      <c r="E34" s="344">
        <f t="shared" si="6"/>
        <v>5490000</v>
      </c>
      <c r="F34" s="734">
        <f>4</f>
        <v>4</v>
      </c>
      <c r="G34" s="737">
        <f>800000+800000+400000+400000</f>
        <v>2400000</v>
      </c>
      <c r="H34" s="363"/>
      <c r="I34" s="530"/>
      <c r="J34" s="536"/>
      <c r="K34" s="537"/>
      <c r="L34" s="739">
        <v>486</v>
      </c>
      <c r="M34" s="740">
        <v>1329100</v>
      </c>
    </row>
    <row r="35" spans="1:13" ht="21" customHeight="1" x14ac:dyDescent="0.25">
      <c r="A35" s="527" t="s">
        <v>126</v>
      </c>
      <c r="B35" s="735">
        <v>383</v>
      </c>
      <c r="C35" s="686">
        <f t="shared" si="5"/>
        <v>2298000</v>
      </c>
      <c r="D35" s="101">
        <v>534</v>
      </c>
      <c r="E35" s="344">
        <f t="shared" si="6"/>
        <v>3204000</v>
      </c>
      <c r="F35" s="734">
        <f>3</f>
        <v>3</v>
      </c>
      <c r="G35" s="737">
        <f>1600000+800000+600000</f>
        <v>3000000</v>
      </c>
      <c r="H35" s="363"/>
      <c r="I35" s="530"/>
      <c r="J35" s="536"/>
      <c r="K35" s="537"/>
      <c r="L35" s="739">
        <v>176</v>
      </c>
      <c r="M35" s="740">
        <v>425000</v>
      </c>
    </row>
    <row r="36" spans="1:13" ht="15.75" x14ac:dyDescent="0.25">
      <c r="A36" s="540"/>
      <c r="B36" s="545"/>
      <c r="C36" s="552"/>
      <c r="D36" s="543"/>
      <c r="E36" s="544"/>
      <c r="F36" s="553"/>
      <c r="G36" s="554"/>
      <c r="H36" s="547"/>
      <c r="I36" s="548"/>
      <c r="J36" s="555"/>
      <c r="K36" s="556"/>
      <c r="L36" s="550"/>
      <c r="M36" s="551"/>
    </row>
    <row r="37" spans="1:13" ht="44.25" customHeight="1" x14ac:dyDescent="0.25">
      <c r="A37" s="1007" t="s">
        <v>3</v>
      </c>
      <c r="B37" s="1012" t="s">
        <v>331</v>
      </c>
      <c r="C37" s="1013"/>
      <c r="D37" s="1013"/>
      <c r="E37" s="1014"/>
      <c r="F37" s="1012" t="s">
        <v>375</v>
      </c>
      <c r="G37" s="1013"/>
      <c r="H37" s="1013"/>
      <c r="I37" s="1014"/>
      <c r="J37" s="1012" t="s">
        <v>391</v>
      </c>
      <c r="K37" s="1013"/>
      <c r="L37" s="1013"/>
      <c r="M37" s="1014"/>
    </row>
    <row r="38" spans="1:13" ht="18.75" customHeight="1" x14ac:dyDescent="0.25">
      <c r="A38" s="1007"/>
      <c r="B38" s="1011" t="s">
        <v>327</v>
      </c>
      <c r="C38" s="1011"/>
      <c r="D38" s="1013" t="s">
        <v>333</v>
      </c>
      <c r="E38" s="1014"/>
      <c r="F38" s="1011" t="s">
        <v>327</v>
      </c>
      <c r="G38" s="1011"/>
      <c r="H38" s="1013" t="s">
        <v>333</v>
      </c>
      <c r="I38" s="1014"/>
      <c r="J38" s="1011" t="s">
        <v>327</v>
      </c>
      <c r="K38" s="1011"/>
      <c r="L38" s="1013" t="s">
        <v>333</v>
      </c>
      <c r="M38" s="1014"/>
    </row>
    <row r="39" spans="1:13" ht="45" customHeight="1" x14ac:dyDescent="0.25">
      <c r="A39" s="1007"/>
      <c r="B39" s="365" t="s">
        <v>308</v>
      </c>
      <c r="C39" s="521" t="s">
        <v>60</v>
      </c>
      <c r="D39" s="365" t="s">
        <v>332</v>
      </c>
      <c r="E39" s="366" t="s">
        <v>305</v>
      </c>
      <c r="F39" s="365" t="s">
        <v>308</v>
      </c>
      <c r="G39" s="522" t="s">
        <v>60</v>
      </c>
      <c r="H39" s="365" t="s">
        <v>253</v>
      </c>
      <c r="I39" s="366" t="s">
        <v>305</v>
      </c>
      <c r="J39" s="571" t="s">
        <v>308</v>
      </c>
      <c r="K39" s="570" t="s">
        <v>60</v>
      </c>
      <c r="L39" s="571" t="s">
        <v>253</v>
      </c>
      <c r="M39" s="366" t="s">
        <v>305</v>
      </c>
    </row>
    <row r="40" spans="1:13" ht="15.75" x14ac:dyDescent="0.25">
      <c r="A40" s="523" t="s">
        <v>81</v>
      </c>
      <c r="B40" s="524">
        <f t="shared" ref="B40:I40" si="7">SUM(B41:B49)</f>
        <v>0</v>
      </c>
      <c r="C40" s="525">
        <f t="shared" si="7"/>
        <v>0</v>
      </c>
      <c r="D40" s="524">
        <f t="shared" si="7"/>
        <v>1</v>
      </c>
      <c r="E40" s="525">
        <f t="shared" si="7"/>
        <v>500</v>
      </c>
      <c r="F40" s="524">
        <f t="shared" si="7"/>
        <v>0</v>
      </c>
      <c r="G40" s="525">
        <f t="shared" si="7"/>
        <v>0</v>
      </c>
      <c r="H40" s="524">
        <f t="shared" si="7"/>
        <v>0</v>
      </c>
      <c r="I40" s="525">
        <f t="shared" si="7"/>
        <v>0</v>
      </c>
      <c r="J40" s="524">
        <f t="shared" ref="J40:M40" si="8">SUM(J41:J49)</f>
        <v>0</v>
      </c>
      <c r="K40" s="525">
        <f t="shared" si="8"/>
        <v>0</v>
      </c>
      <c r="L40" s="524">
        <f t="shared" si="8"/>
        <v>0</v>
      </c>
      <c r="M40" s="525">
        <f t="shared" si="8"/>
        <v>0</v>
      </c>
    </row>
    <row r="41" spans="1:13" ht="15.75" x14ac:dyDescent="0.25">
      <c r="A41" s="527" t="s">
        <v>118</v>
      </c>
      <c r="B41" s="365"/>
      <c r="C41" s="366"/>
      <c r="D41" s="535"/>
      <c r="E41" s="366"/>
      <c r="F41" s="363"/>
      <c r="G41" s="530"/>
      <c r="H41" s="363"/>
      <c r="I41" s="530"/>
      <c r="J41" s="363"/>
      <c r="K41" s="530"/>
      <c r="L41" s="363"/>
      <c r="M41" s="530"/>
    </row>
    <row r="42" spans="1:13" ht="15.75" x14ac:dyDescent="0.25">
      <c r="A42" s="527" t="s">
        <v>119</v>
      </c>
      <c r="B42" s="365"/>
      <c r="C42" s="366"/>
      <c r="D42" s="535"/>
      <c r="E42" s="366"/>
      <c r="F42" s="363"/>
      <c r="G42" s="530"/>
      <c r="H42" s="363"/>
      <c r="I42" s="530"/>
      <c r="J42" s="363"/>
      <c r="K42" s="530"/>
      <c r="L42" s="363"/>
      <c r="M42" s="530"/>
    </row>
    <row r="43" spans="1:13" ht="15.75" x14ac:dyDescent="0.25">
      <c r="A43" s="527" t="s">
        <v>120</v>
      </c>
      <c r="B43" s="365"/>
      <c r="C43" s="366"/>
      <c r="D43" s="739">
        <v>1</v>
      </c>
      <c r="E43" s="740">
        <v>500</v>
      </c>
      <c r="F43" s="363"/>
      <c r="G43" s="530"/>
      <c r="H43" s="363"/>
      <c r="I43" s="530"/>
      <c r="J43" s="363"/>
      <c r="K43" s="530"/>
      <c r="L43" s="363"/>
      <c r="M43" s="530"/>
    </row>
    <row r="44" spans="1:13" ht="15.75" x14ac:dyDescent="0.25">
      <c r="A44" s="527" t="s">
        <v>121</v>
      </c>
      <c r="B44" s="365"/>
      <c r="C44" s="366"/>
      <c r="D44" s="535"/>
      <c r="E44" s="366"/>
      <c r="F44" s="363"/>
      <c r="G44" s="530"/>
      <c r="H44" s="363"/>
      <c r="I44" s="530"/>
      <c r="J44" s="363"/>
      <c r="K44" s="530"/>
      <c r="L44" s="363"/>
      <c r="M44" s="530"/>
    </row>
    <row r="45" spans="1:13" ht="15.75" x14ac:dyDescent="0.25">
      <c r="A45" s="527" t="s">
        <v>122</v>
      </c>
      <c r="B45" s="365"/>
      <c r="C45" s="366"/>
      <c r="D45" s="535"/>
      <c r="E45" s="366"/>
      <c r="F45" s="363"/>
      <c r="G45" s="530"/>
      <c r="H45" s="363"/>
      <c r="I45" s="530"/>
      <c r="J45" s="363"/>
      <c r="K45" s="530"/>
      <c r="L45" s="363"/>
      <c r="M45" s="530"/>
    </row>
    <row r="46" spans="1:13" ht="15.75" x14ac:dyDescent="0.25">
      <c r="A46" s="527" t="s">
        <v>123</v>
      </c>
      <c r="B46" s="365"/>
      <c r="C46" s="366"/>
      <c r="D46" s="535"/>
      <c r="E46" s="366"/>
      <c r="F46" s="363"/>
      <c r="G46" s="530"/>
      <c r="H46" s="363"/>
      <c r="I46" s="530"/>
      <c r="J46" s="363"/>
      <c r="K46" s="530"/>
      <c r="L46" s="363"/>
      <c r="M46" s="530"/>
    </row>
    <row r="47" spans="1:13" ht="30.75" customHeight="1" x14ac:dyDescent="0.25">
      <c r="A47" s="527" t="s">
        <v>124</v>
      </c>
      <c r="B47" s="365"/>
      <c r="C47" s="366"/>
      <c r="D47" s="535"/>
      <c r="E47" s="366"/>
      <c r="F47" s="363"/>
      <c r="G47" s="530"/>
      <c r="H47" s="363"/>
      <c r="I47" s="530"/>
      <c r="J47" s="363"/>
      <c r="K47" s="530"/>
      <c r="L47" s="363"/>
      <c r="M47" s="530"/>
    </row>
    <row r="48" spans="1:13" ht="15.75" x14ac:dyDescent="0.25">
      <c r="A48" s="527" t="s">
        <v>125</v>
      </c>
      <c r="B48" s="365"/>
      <c r="C48" s="366"/>
      <c r="D48" s="535"/>
      <c r="E48" s="366"/>
      <c r="F48" s="363"/>
      <c r="G48" s="530"/>
      <c r="H48" s="363"/>
      <c r="I48" s="530"/>
      <c r="J48" s="363"/>
      <c r="K48" s="530"/>
      <c r="L48" s="363"/>
      <c r="M48" s="530"/>
    </row>
    <row r="49" spans="1:13" ht="15.75" x14ac:dyDescent="0.25">
      <c r="A49" s="527" t="s">
        <v>126</v>
      </c>
      <c r="B49" s="365"/>
      <c r="C49" s="366"/>
      <c r="D49" s="535"/>
      <c r="E49" s="366"/>
      <c r="F49" s="363"/>
      <c r="G49" s="530"/>
      <c r="H49" s="363"/>
      <c r="I49" s="530"/>
      <c r="J49" s="363"/>
      <c r="K49" s="530"/>
      <c r="L49" s="363"/>
      <c r="M49" s="530"/>
    </row>
    <row r="51" spans="1:13" ht="15.75" x14ac:dyDescent="0.25">
      <c r="A51" s="1007" t="s">
        <v>3</v>
      </c>
      <c r="B51" s="1012" t="s">
        <v>81</v>
      </c>
      <c r="C51" s="1013"/>
      <c r="D51" s="1013"/>
      <c r="E51" s="1014"/>
    </row>
    <row r="52" spans="1:13" ht="15" customHeight="1" x14ac:dyDescent="0.25">
      <c r="A52" s="1007"/>
      <c r="B52" s="1026" t="s">
        <v>60</v>
      </c>
      <c r="C52" s="1027"/>
      <c r="D52" s="1026" t="s">
        <v>305</v>
      </c>
      <c r="E52" s="1027"/>
    </row>
    <row r="53" spans="1:13" ht="15" customHeight="1" x14ac:dyDescent="0.25">
      <c r="A53" s="1007"/>
      <c r="B53" s="1028"/>
      <c r="C53" s="1029"/>
      <c r="D53" s="1028"/>
      <c r="E53" s="1029"/>
    </row>
    <row r="54" spans="1:13" ht="15.75" x14ac:dyDescent="0.25">
      <c r="A54" s="523" t="s">
        <v>81</v>
      </c>
      <c r="B54" s="1030">
        <f>SUM(B55:B63)</f>
        <v>511432498.54000002</v>
      </c>
      <c r="C54" s="1031"/>
      <c r="D54" s="1030">
        <f>SUM(D55:E63)</f>
        <v>339499504</v>
      </c>
      <c r="E54" s="1031"/>
    </row>
    <row r="55" spans="1:13" ht="15.75" x14ac:dyDescent="0.25">
      <c r="A55" s="527" t="s">
        <v>118</v>
      </c>
      <c r="B55" s="1024">
        <f t="shared" ref="B55:B63" si="9">C13+G13+K13+C27+G27+K27+C41+G41</f>
        <v>56775000</v>
      </c>
      <c r="C55" s="1025"/>
      <c r="D55" s="1024">
        <f>E13+I13+M13+E27+I27+M27+E41+I41</f>
        <v>38297800</v>
      </c>
      <c r="E55" s="1025"/>
    </row>
    <row r="56" spans="1:13" ht="15.75" x14ac:dyDescent="0.25">
      <c r="A56" s="527" t="s">
        <v>119</v>
      </c>
      <c r="B56" s="1024">
        <f t="shared" si="9"/>
        <v>62049000</v>
      </c>
      <c r="C56" s="1025"/>
      <c r="D56" s="1024">
        <f>E14+I14+M14+E28+I28+M28+E42+I42+M42</f>
        <v>41890264</v>
      </c>
      <c r="E56" s="1025"/>
    </row>
    <row r="57" spans="1:13" ht="15.75" x14ac:dyDescent="0.25">
      <c r="A57" s="527" t="s">
        <v>120</v>
      </c>
      <c r="B57" s="1024">
        <f t="shared" si="9"/>
        <v>100521000</v>
      </c>
      <c r="C57" s="1025"/>
      <c r="D57" s="1024">
        <f>E15+I15+M15+E29+I29+M29+E43+I43</f>
        <v>69177376</v>
      </c>
      <c r="E57" s="1025"/>
    </row>
    <row r="58" spans="1:13" ht="15.75" x14ac:dyDescent="0.25">
      <c r="A58" s="527" t="s">
        <v>121</v>
      </c>
      <c r="B58" s="1024">
        <f t="shared" si="9"/>
        <v>31281000</v>
      </c>
      <c r="C58" s="1025"/>
      <c r="D58" s="1024">
        <f>E16+I16+M16+E30+I30+M30+E44+I44+M44</f>
        <v>22905444</v>
      </c>
      <c r="E58" s="1025"/>
    </row>
    <row r="59" spans="1:13" ht="15.75" x14ac:dyDescent="0.25">
      <c r="A59" s="527" t="s">
        <v>122</v>
      </c>
      <c r="B59" s="1024">
        <f t="shared" si="9"/>
        <v>15737000</v>
      </c>
      <c r="C59" s="1025"/>
      <c r="D59" s="1024">
        <f>E17+I17+M17+E31+I31+M31+E45+I45</f>
        <v>10926300</v>
      </c>
      <c r="E59" s="1025"/>
    </row>
    <row r="60" spans="1:13" ht="15.75" x14ac:dyDescent="0.25">
      <c r="A60" s="527" t="s">
        <v>123</v>
      </c>
      <c r="B60" s="1024">
        <f t="shared" si="9"/>
        <v>50386698.539999999</v>
      </c>
      <c r="C60" s="1025"/>
      <c r="D60" s="1024">
        <f>E18+I18+M18+E32+I32+M32+E46+I46</f>
        <v>31357625</v>
      </c>
      <c r="E60" s="1025"/>
    </row>
    <row r="61" spans="1:13" ht="15.75" x14ac:dyDescent="0.25">
      <c r="A61" s="527" t="s">
        <v>124</v>
      </c>
      <c r="B61" s="1024">
        <f t="shared" si="9"/>
        <v>46513800</v>
      </c>
      <c r="C61" s="1025"/>
      <c r="D61" s="1024">
        <f>E19+I19+M19+E33+I33+M33+E47+I47</f>
        <v>29130250</v>
      </c>
      <c r="E61" s="1025"/>
    </row>
    <row r="62" spans="1:13" ht="15.75" x14ac:dyDescent="0.25">
      <c r="A62" s="527" t="s">
        <v>125</v>
      </c>
      <c r="B62" s="1024">
        <f t="shared" si="9"/>
        <v>105209000</v>
      </c>
      <c r="C62" s="1025"/>
      <c r="D62" s="1024">
        <f>E20+I20+M20+E34+I34+M34+E48+I48</f>
        <v>68782710</v>
      </c>
      <c r="E62" s="1025"/>
    </row>
    <row r="63" spans="1:13" ht="15.75" x14ac:dyDescent="0.25">
      <c r="A63" s="527" t="s">
        <v>126</v>
      </c>
      <c r="B63" s="1024">
        <f t="shared" si="9"/>
        <v>42960000</v>
      </c>
      <c r="C63" s="1025"/>
      <c r="D63" s="1024">
        <f>E21+I21+M21+E35+I35+M35+E49+I49</f>
        <v>27031735</v>
      </c>
      <c r="E63" s="1025"/>
    </row>
  </sheetData>
  <mergeCells count="59">
    <mergeCell ref="D57:E57"/>
    <mergeCell ref="D60:E60"/>
    <mergeCell ref="D59:E59"/>
    <mergeCell ref="D58:E58"/>
    <mergeCell ref="B51:E51"/>
    <mergeCell ref="D56:E56"/>
    <mergeCell ref="B56:C56"/>
    <mergeCell ref="B57:C57"/>
    <mergeCell ref="B58:C58"/>
    <mergeCell ref="B59:C59"/>
    <mergeCell ref="B60:C60"/>
    <mergeCell ref="B52:C53"/>
    <mergeCell ref="D52:E53"/>
    <mergeCell ref="B54:C54"/>
    <mergeCell ref="D54:E54"/>
    <mergeCell ref="B55:C55"/>
    <mergeCell ref="B61:C61"/>
    <mergeCell ref="D61:E61"/>
    <mergeCell ref="B62:C62"/>
    <mergeCell ref="D62:E62"/>
    <mergeCell ref="B63:C63"/>
    <mergeCell ref="D63:E63"/>
    <mergeCell ref="D55:E55"/>
    <mergeCell ref="L24:M24"/>
    <mergeCell ref="A37:A39"/>
    <mergeCell ref="B37:E37"/>
    <mergeCell ref="F37:I37"/>
    <mergeCell ref="B38:C38"/>
    <mergeCell ref="D38:E38"/>
    <mergeCell ref="F38:G38"/>
    <mergeCell ref="H38:I38"/>
    <mergeCell ref="A23:A25"/>
    <mergeCell ref="B23:E23"/>
    <mergeCell ref="F23:I23"/>
    <mergeCell ref="J23:M23"/>
    <mergeCell ref="B24:C24"/>
    <mergeCell ref="D24:E24"/>
    <mergeCell ref="F24:G24"/>
    <mergeCell ref="A1:M1"/>
    <mergeCell ref="A2:M2"/>
    <mergeCell ref="A3:M3"/>
    <mergeCell ref="A5:M5"/>
    <mergeCell ref="A6:M6"/>
    <mergeCell ref="A51:A53"/>
    <mergeCell ref="J37:M37"/>
    <mergeCell ref="J38:K38"/>
    <mergeCell ref="L38:M38"/>
    <mergeCell ref="L10:M10"/>
    <mergeCell ref="A9:A11"/>
    <mergeCell ref="B9:E9"/>
    <mergeCell ref="F9:I9"/>
    <mergeCell ref="J9:M9"/>
    <mergeCell ref="H24:I24"/>
    <mergeCell ref="J24:K24"/>
    <mergeCell ref="B10:C10"/>
    <mergeCell ref="D10:E10"/>
    <mergeCell ref="F10:G10"/>
    <mergeCell ref="H10:I10"/>
    <mergeCell ref="J10:K10"/>
  </mergeCells>
  <pageMargins left="1.19" right="0.15748031496063" top="0.6" bottom="0.35433070866141703" header="0.55118110236220497" footer="0.118110236220472"/>
  <pageSetup paperSize="9" scale="61" orientation="portrait"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46"/>
  <sheetViews>
    <sheetView view="pageBreakPreview" topLeftCell="A8" zoomScale="80" zoomScaleNormal="80" zoomScaleSheetLayoutView="80" workbookViewId="0">
      <selection activeCell="M34" sqref="M34"/>
    </sheetView>
  </sheetViews>
  <sheetFormatPr defaultRowHeight="15" x14ac:dyDescent="0.25"/>
  <cols>
    <col min="1" max="1" width="14.28515625" style="666" customWidth="1"/>
    <col min="2" max="2" width="11.42578125" style="666" customWidth="1"/>
    <col min="3" max="3" width="16.5703125" style="690" customWidth="1"/>
    <col min="4" max="4" width="12" style="690" customWidth="1"/>
    <col min="5" max="5" width="16.7109375" style="690" customWidth="1"/>
    <col min="6" max="6" width="9.5703125" style="666" customWidth="1"/>
    <col min="7" max="7" width="14.85546875" style="666" customWidth="1"/>
    <col min="8" max="8" width="11" style="666" customWidth="1"/>
    <col min="9" max="9" width="16.42578125" style="690" customWidth="1"/>
    <col min="10" max="10" width="11.5703125" style="666" customWidth="1"/>
    <col min="11" max="11" width="14.5703125" style="690" customWidth="1"/>
    <col min="12" max="12" width="11.42578125" style="666" customWidth="1"/>
    <col min="13" max="13" width="17.140625" style="690" customWidth="1"/>
    <col min="14" max="14" width="17.42578125" style="666" customWidth="1"/>
    <col min="15" max="15" width="9.140625" style="666"/>
    <col min="16" max="16" width="18.140625" style="666" customWidth="1"/>
    <col min="17" max="17" width="9.140625" style="666"/>
    <col min="18" max="18" width="15.42578125" style="666" customWidth="1"/>
    <col min="19" max="19" width="9.140625" style="666"/>
    <col min="20" max="20" width="15.42578125" style="666" customWidth="1"/>
    <col min="21" max="16384" width="9.140625" style="666"/>
  </cols>
  <sheetData>
    <row r="1" spans="1:13" x14ac:dyDescent="0.25">
      <c r="A1" s="947" t="s">
        <v>39</v>
      </c>
      <c r="B1" s="947"/>
      <c r="C1" s="947"/>
      <c r="D1" s="947"/>
      <c r="E1" s="947"/>
      <c r="F1" s="947"/>
      <c r="G1" s="947"/>
      <c r="H1" s="947"/>
      <c r="I1" s="947"/>
      <c r="J1" s="947"/>
      <c r="K1" s="947"/>
      <c r="L1" s="947"/>
      <c r="M1" s="947"/>
    </row>
    <row r="2" spans="1:13" x14ac:dyDescent="0.25">
      <c r="A2" s="947" t="s">
        <v>40</v>
      </c>
      <c r="B2" s="947"/>
      <c r="C2" s="947"/>
      <c r="D2" s="947"/>
      <c r="E2" s="947"/>
      <c r="F2" s="947"/>
      <c r="G2" s="947"/>
      <c r="H2" s="947"/>
      <c r="I2" s="947"/>
      <c r="J2" s="947"/>
      <c r="K2" s="947"/>
      <c r="L2" s="947"/>
      <c r="M2" s="947"/>
    </row>
    <row r="3" spans="1:13" x14ac:dyDescent="0.25">
      <c r="A3" s="947" t="s">
        <v>302</v>
      </c>
      <c r="B3" s="947"/>
      <c r="C3" s="947"/>
      <c r="D3" s="947"/>
      <c r="E3" s="947"/>
      <c r="F3" s="947"/>
      <c r="G3" s="947"/>
      <c r="H3" s="947"/>
      <c r="I3" s="947"/>
      <c r="J3" s="947"/>
      <c r="K3" s="947"/>
      <c r="L3" s="947"/>
      <c r="M3" s="947"/>
    </row>
    <row r="5" spans="1:13" ht="18.75" x14ac:dyDescent="0.3">
      <c r="A5" s="948" t="s">
        <v>353</v>
      </c>
      <c r="B5" s="948"/>
      <c r="C5" s="948"/>
      <c r="D5" s="948"/>
      <c r="E5" s="948"/>
      <c r="F5" s="948"/>
      <c r="G5" s="948"/>
      <c r="H5" s="948"/>
      <c r="I5" s="948"/>
      <c r="J5" s="948"/>
      <c r="K5" s="948"/>
      <c r="L5" s="948"/>
      <c r="M5" s="948"/>
    </row>
    <row r="6" spans="1:13" ht="18.75" x14ac:dyDescent="0.3">
      <c r="A6" s="948" t="str">
        <f>Summary2015!$A$6</f>
        <v>JANUARY TO DECEMBER 2015</v>
      </c>
      <c r="B6" s="948"/>
      <c r="C6" s="948"/>
      <c r="D6" s="948"/>
      <c r="E6" s="948"/>
      <c r="F6" s="948"/>
      <c r="G6" s="948"/>
      <c r="H6" s="948"/>
      <c r="I6" s="948"/>
      <c r="J6" s="948"/>
      <c r="K6" s="948"/>
      <c r="L6" s="948"/>
      <c r="M6" s="948"/>
    </row>
    <row r="7" spans="1:13" ht="18.75" x14ac:dyDescent="0.3">
      <c r="A7" s="696"/>
      <c r="B7" s="696"/>
      <c r="C7" s="696"/>
      <c r="D7" s="696"/>
      <c r="E7" s="696"/>
      <c r="F7" s="696"/>
      <c r="G7" s="696"/>
      <c r="H7" s="696"/>
      <c r="I7" s="696"/>
      <c r="J7" s="696"/>
      <c r="K7" s="696"/>
      <c r="L7" s="696"/>
      <c r="M7" s="696"/>
    </row>
    <row r="8" spans="1:13" s="711" customFormat="1" ht="18.75" x14ac:dyDescent="0.3">
      <c r="A8" s="711" t="s">
        <v>348</v>
      </c>
      <c r="C8" s="712"/>
      <c r="E8" s="712"/>
      <c r="G8" s="712"/>
      <c r="I8" s="712"/>
      <c r="K8" s="712"/>
    </row>
    <row r="9" spans="1:13" s="672" customFormat="1" ht="31.5" customHeight="1" x14ac:dyDescent="0.25">
      <c r="A9" s="949" t="s">
        <v>3</v>
      </c>
      <c r="B9" s="950" t="s">
        <v>5</v>
      </c>
      <c r="C9" s="951"/>
      <c r="D9" s="951"/>
      <c r="E9" s="952"/>
      <c r="F9" s="950" t="s">
        <v>7</v>
      </c>
      <c r="G9" s="951"/>
      <c r="H9" s="951"/>
      <c r="I9" s="952"/>
      <c r="J9" s="950" t="s">
        <v>306</v>
      </c>
      <c r="K9" s="951"/>
      <c r="L9" s="951"/>
      <c r="M9" s="952"/>
    </row>
    <row r="10" spans="1:13" ht="20.25" customHeight="1" x14ac:dyDescent="0.25">
      <c r="A10" s="949"/>
      <c r="B10" s="938" t="s">
        <v>327</v>
      </c>
      <c r="C10" s="938"/>
      <c r="D10" s="939" t="s">
        <v>333</v>
      </c>
      <c r="E10" s="940"/>
      <c r="F10" s="938" t="s">
        <v>327</v>
      </c>
      <c r="G10" s="938"/>
      <c r="H10" s="939" t="s">
        <v>333</v>
      </c>
      <c r="I10" s="940"/>
      <c r="J10" s="938" t="s">
        <v>327</v>
      </c>
      <c r="K10" s="938"/>
      <c r="L10" s="939" t="s">
        <v>333</v>
      </c>
      <c r="M10" s="940"/>
    </row>
    <row r="11" spans="1:13" s="675" customFormat="1" ht="45" x14ac:dyDescent="0.25">
      <c r="A11" s="949"/>
      <c r="B11" s="695" t="s">
        <v>307</v>
      </c>
      <c r="C11" s="639" t="s">
        <v>60</v>
      </c>
      <c r="D11" s="695" t="s">
        <v>307</v>
      </c>
      <c r="E11" s="674" t="s">
        <v>305</v>
      </c>
      <c r="F11" s="695" t="s">
        <v>308</v>
      </c>
      <c r="G11" s="694" t="s">
        <v>60</v>
      </c>
      <c r="H11" s="695" t="s">
        <v>308</v>
      </c>
      <c r="I11" s="674" t="s">
        <v>305</v>
      </c>
      <c r="J11" s="695" t="s">
        <v>309</v>
      </c>
      <c r="K11" s="639" t="s">
        <v>60</v>
      </c>
      <c r="L11" s="695" t="s">
        <v>309</v>
      </c>
      <c r="M11" s="639" t="s">
        <v>305</v>
      </c>
    </row>
    <row r="12" spans="1:13" x14ac:dyDescent="0.25">
      <c r="A12" s="676" t="s">
        <v>81</v>
      </c>
      <c r="B12" s="677">
        <f t="shared" ref="B12:M12" si="0">SUM(B13:B20)</f>
        <v>21072</v>
      </c>
      <c r="C12" s="678">
        <f t="shared" si="0"/>
        <v>316080000</v>
      </c>
      <c r="D12" s="677">
        <f t="shared" si="0"/>
        <v>20467</v>
      </c>
      <c r="E12" s="679">
        <f t="shared" si="0"/>
        <v>196397700</v>
      </c>
      <c r="F12" s="677">
        <f t="shared" si="0"/>
        <v>2003</v>
      </c>
      <c r="G12" s="678">
        <f t="shared" si="0"/>
        <v>20030000</v>
      </c>
      <c r="H12" s="677">
        <f t="shared" si="0"/>
        <v>175</v>
      </c>
      <c r="I12" s="678">
        <f t="shared" si="0"/>
        <v>1075000</v>
      </c>
      <c r="J12" s="677">
        <f t="shared" si="0"/>
        <v>9000</v>
      </c>
      <c r="K12" s="678">
        <f t="shared" si="0"/>
        <v>14040000</v>
      </c>
      <c r="L12" s="680">
        <f t="shared" si="0"/>
        <v>7461</v>
      </c>
      <c r="M12" s="678">
        <f t="shared" si="0"/>
        <v>7012114</v>
      </c>
    </row>
    <row r="13" spans="1:13" x14ac:dyDescent="0.25">
      <c r="A13" s="692" t="s">
        <v>127</v>
      </c>
      <c r="B13" s="424">
        <f>2392-87</f>
        <v>2305</v>
      </c>
      <c r="C13" s="442">
        <f t="shared" ref="C13:C20" si="1">B13*15000</f>
        <v>34575000</v>
      </c>
      <c r="D13" s="769">
        <v>2287</v>
      </c>
      <c r="E13" s="769">
        <v>21898400</v>
      </c>
      <c r="F13" s="383"/>
      <c r="G13" s="384">
        <f>F13*10000</f>
        <v>0</v>
      </c>
      <c r="H13" s="743">
        <v>15</v>
      </c>
      <c r="I13" s="1075">
        <v>75000</v>
      </c>
      <c r="J13" s="729">
        <v>1000</v>
      </c>
      <c r="K13" s="686">
        <f>J13*1560</f>
        <v>1560000</v>
      </c>
      <c r="L13" s="681"/>
      <c r="M13" s="682"/>
    </row>
    <row r="14" spans="1:13" x14ac:dyDescent="0.25">
      <c r="A14" s="692" t="s">
        <v>128</v>
      </c>
      <c r="B14" s="424">
        <v>1802</v>
      </c>
      <c r="C14" s="442">
        <f t="shared" si="1"/>
        <v>27030000</v>
      </c>
      <c r="D14" s="769">
        <v>1770</v>
      </c>
      <c r="E14" s="769">
        <v>17089600</v>
      </c>
      <c r="F14" s="383">
        <v>83</v>
      </c>
      <c r="G14" s="384">
        <f t="shared" ref="G14:G20" si="2">F14*10000</f>
        <v>830000</v>
      </c>
      <c r="H14" s="743"/>
      <c r="I14" s="1075"/>
      <c r="J14" s="729">
        <v>800</v>
      </c>
      <c r="K14" s="686">
        <f t="shared" ref="K14:K20" si="3">J14*1560</f>
        <v>1248000</v>
      </c>
      <c r="L14" s="681">
        <v>871</v>
      </c>
      <c r="M14" s="682">
        <v>1369212</v>
      </c>
    </row>
    <row r="15" spans="1:13" x14ac:dyDescent="0.25">
      <c r="A15" s="692" t="s">
        <v>129</v>
      </c>
      <c r="B15" s="424">
        <f>2667-1</f>
        <v>2666</v>
      </c>
      <c r="C15" s="442">
        <f t="shared" si="1"/>
        <v>39990000</v>
      </c>
      <c r="D15" s="769">
        <v>2581</v>
      </c>
      <c r="E15" s="769">
        <v>24814200</v>
      </c>
      <c r="F15" s="383"/>
      <c r="G15" s="384">
        <f t="shared" si="2"/>
        <v>0</v>
      </c>
      <c r="H15" s="743"/>
      <c r="I15" s="1075"/>
      <c r="J15" s="729">
        <v>800</v>
      </c>
      <c r="K15" s="686">
        <f t="shared" si="3"/>
        <v>1248000</v>
      </c>
      <c r="L15" s="681">
        <v>734</v>
      </c>
      <c r="M15" s="682">
        <v>811070</v>
      </c>
    </row>
    <row r="16" spans="1:13" x14ac:dyDescent="0.25">
      <c r="A16" s="692" t="s">
        <v>130</v>
      </c>
      <c r="B16" s="424">
        <f>1447-14</f>
        <v>1433</v>
      </c>
      <c r="C16" s="442">
        <f t="shared" si="1"/>
        <v>21495000</v>
      </c>
      <c r="D16" s="769">
        <v>1406</v>
      </c>
      <c r="E16" s="769">
        <v>14629400</v>
      </c>
      <c r="F16" s="383">
        <v>200</v>
      </c>
      <c r="G16" s="384">
        <f t="shared" si="2"/>
        <v>2000000</v>
      </c>
      <c r="H16" s="749">
        <v>25</v>
      </c>
      <c r="I16" s="1076">
        <v>125000</v>
      </c>
      <c r="J16" s="729">
        <v>900</v>
      </c>
      <c r="K16" s="686">
        <f t="shared" si="3"/>
        <v>1404000</v>
      </c>
      <c r="L16" s="681"/>
      <c r="M16" s="682"/>
    </row>
    <row r="17" spans="1:13" x14ac:dyDescent="0.25">
      <c r="A17" s="692" t="s">
        <v>131</v>
      </c>
      <c r="B17" s="424">
        <v>2338</v>
      </c>
      <c r="C17" s="442">
        <f t="shared" si="1"/>
        <v>35070000</v>
      </c>
      <c r="D17" s="769">
        <v>2283</v>
      </c>
      <c r="E17" s="769">
        <v>22931200</v>
      </c>
      <c r="F17" s="383">
        <v>150</v>
      </c>
      <c r="G17" s="384">
        <f t="shared" si="2"/>
        <v>1500000</v>
      </c>
      <c r="H17" s="743"/>
      <c r="I17" s="1075"/>
      <c r="J17" s="729">
        <v>1200</v>
      </c>
      <c r="K17" s="686">
        <f t="shared" si="3"/>
        <v>1872000</v>
      </c>
      <c r="L17" s="681">
        <v>1293</v>
      </c>
      <c r="M17" s="682">
        <v>2032596</v>
      </c>
    </row>
    <row r="18" spans="1:13" x14ac:dyDescent="0.25">
      <c r="A18" s="692" t="s">
        <v>132</v>
      </c>
      <c r="B18" s="424">
        <f>4481-24</f>
        <v>4457</v>
      </c>
      <c r="C18" s="442">
        <f t="shared" si="1"/>
        <v>66855000</v>
      </c>
      <c r="D18" s="769">
        <v>4439</v>
      </c>
      <c r="E18" s="769">
        <v>41558700</v>
      </c>
      <c r="F18" s="383">
        <v>520</v>
      </c>
      <c r="G18" s="384">
        <f t="shared" si="2"/>
        <v>5200000</v>
      </c>
      <c r="H18" s="743"/>
      <c r="I18" s="1075"/>
      <c r="J18" s="729">
        <v>2100</v>
      </c>
      <c r="K18" s="686">
        <f t="shared" si="3"/>
        <v>3276000</v>
      </c>
      <c r="L18" s="681">
        <v>2355</v>
      </c>
      <c r="M18" s="682">
        <v>1347060</v>
      </c>
    </row>
    <row r="19" spans="1:13" ht="30" x14ac:dyDescent="0.25">
      <c r="A19" s="692" t="s">
        <v>133</v>
      </c>
      <c r="B19" s="738">
        <v>4393</v>
      </c>
      <c r="C19" s="442">
        <f t="shared" si="1"/>
        <v>65895000</v>
      </c>
      <c r="D19" s="769">
        <v>4061</v>
      </c>
      <c r="E19" s="769">
        <v>38557800</v>
      </c>
      <c r="F19" s="383">
        <v>890</v>
      </c>
      <c r="G19" s="384">
        <f t="shared" si="2"/>
        <v>8900000</v>
      </c>
      <c r="H19" s="743">
        <v>115</v>
      </c>
      <c r="I19" s="1075">
        <v>675000</v>
      </c>
      <c r="J19" s="729">
        <v>1500</v>
      </c>
      <c r="K19" s="686">
        <f t="shared" si="3"/>
        <v>2340000</v>
      </c>
      <c r="L19" s="681">
        <v>1400</v>
      </c>
      <c r="M19" s="682">
        <v>182000</v>
      </c>
    </row>
    <row r="20" spans="1:13" x14ac:dyDescent="0.25">
      <c r="A20" s="692" t="s">
        <v>134</v>
      </c>
      <c r="B20" s="424">
        <v>1678</v>
      </c>
      <c r="C20" s="442">
        <f t="shared" si="1"/>
        <v>25170000</v>
      </c>
      <c r="D20" s="769">
        <v>1640</v>
      </c>
      <c r="E20" s="769">
        <v>14918400</v>
      </c>
      <c r="F20" s="383">
        <v>160</v>
      </c>
      <c r="G20" s="384">
        <f t="shared" si="2"/>
        <v>1600000</v>
      </c>
      <c r="H20" s="743">
        <v>20</v>
      </c>
      <c r="I20" s="1075">
        <v>200000</v>
      </c>
      <c r="J20" s="729">
        <v>700</v>
      </c>
      <c r="K20" s="686">
        <f t="shared" si="3"/>
        <v>1092000</v>
      </c>
      <c r="L20" s="681">
        <v>808</v>
      </c>
      <c r="M20" s="682">
        <v>1270176</v>
      </c>
    </row>
    <row r="22" spans="1:13" s="672" customFormat="1" ht="21" customHeight="1" x14ac:dyDescent="0.25">
      <c r="A22" s="949" t="s">
        <v>3</v>
      </c>
      <c r="B22" s="950" t="s">
        <v>16</v>
      </c>
      <c r="C22" s="951"/>
      <c r="D22" s="951"/>
      <c r="E22" s="952"/>
      <c r="F22" s="950" t="s">
        <v>421</v>
      </c>
      <c r="G22" s="951"/>
      <c r="H22" s="951"/>
      <c r="I22" s="952"/>
      <c r="J22" s="950" t="s">
        <v>329</v>
      </c>
      <c r="K22" s="951"/>
      <c r="L22" s="951"/>
      <c r="M22" s="952"/>
    </row>
    <row r="23" spans="1:13" ht="18" customHeight="1" x14ac:dyDescent="0.25">
      <c r="A23" s="949"/>
      <c r="B23" s="938" t="s">
        <v>327</v>
      </c>
      <c r="C23" s="938"/>
      <c r="D23" s="939" t="s">
        <v>333</v>
      </c>
      <c r="E23" s="940"/>
      <c r="F23" s="938" t="s">
        <v>327</v>
      </c>
      <c r="G23" s="938"/>
      <c r="H23" s="939" t="s">
        <v>333</v>
      </c>
      <c r="I23" s="940"/>
      <c r="J23" s="938" t="s">
        <v>327</v>
      </c>
      <c r="K23" s="938"/>
      <c r="L23" s="939" t="s">
        <v>333</v>
      </c>
      <c r="M23" s="940"/>
    </row>
    <row r="24" spans="1:13" ht="45" customHeight="1" x14ac:dyDescent="0.25">
      <c r="A24" s="949"/>
      <c r="B24" s="695" t="s">
        <v>330</v>
      </c>
      <c r="C24" s="639" t="s">
        <v>60</v>
      </c>
      <c r="D24" s="695" t="s">
        <v>330</v>
      </c>
      <c r="E24" s="674" t="s">
        <v>305</v>
      </c>
      <c r="F24" s="695" t="s">
        <v>253</v>
      </c>
      <c r="G24" s="694" t="s">
        <v>60</v>
      </c>
      <c r="H24" s="695" t="s">
        <v>253</v>
      </c>
      <c r="I24" s="639" t="s">
        <v>305</v>
      </c>
      <c r="J24" s="695" t="s">
        <v>310</v>
      </c>
      <c r="K24" s="639" t="s">
        <v>60</v>
      </c>
      <c r="L24" s="695" t="s">
        <v>310</v>
      </c>
      <c r="M24" s="674" t="s">
        <v>305</v>
      </c>
    </row>
    <row r="25" spans="1:13" x14ac:dyDescent="0.25">
      <c r="A25" s="676" t="s">
        <v>81</v>
      </c>
      <c r="B25" s="677">
        <f t="shared" ref="B25:M25" si="4">SUM(B26:B33)</f>
        <v>3346</v>
      </c>
      <c r="C25" s="678">
        <f t="shared" si="4"/>
        <v>20076000</v>
      </c>
      <c r="D25" s="677">
        <f t="shared" si="4"/>
        <v>4133</v>
      </c>
      <c r="E25" s="678">
        <f t="shared" si="4"/>
        <v>24798000</v>
      </c>
      <c r="F25" s="677">
        <f t="shared" si="4"/>
        <v>17</v>
      </c>
      <c r="G25" s="678">
        <f t="shared" si="4"/>
        <v>23454077.829999998</v>
      </c>
      <c r="H25" s="677">
        <f t="shared" si="4"/>
        <v>0</v>
      </c>
      <c r="I25" s="678">
        <f t="shared" si="4"/>
        <v>0</v>
      </c>
      <c r="J25" s="677">
        <f t="shared" si="4"/>
        <v>0</v>
      </c>
      <c r="K25" s="678">
        <f t="shared" si="4"/>
        <v>0</v>
      </c>
      <c r="L25" s="680">
        <f t="shared" si="4"/>
        <v>1582</v>
      </c>
      <c r="M25" s="678">
        <f t="shared" si="4"/>
        <v>4275500</v>
      </c>
    </row>
    <row r="26" spans="1:13" x14ac:dyDescent="0.25">
      <c r="A26" s="692" t="s">
        <v>127</v>
      </c>
      <c r="B26" s="729">
        <v>381</v>
      </c>
      <c r="C26" s="730">
        <f t="shared" ref="C26:C33" si="5">B26*500*12</f>
        <v>2286000</v>
      </c>
      <c r="D26" s="702">
        <v>489</v>
      </c>
      <c r="E26" s="684">
        <f>D26*6000</f>
        <v>2934000</v>
      </c>
      <c r="F26" s="383">
        <f>1</f>
        <v>1</v>
      </c>
      <c r="G26" s="384">
        <f>1000000</f>
        <v>1000000</v>
      </c>
      <c r="H26" s="30"/>
      <c r="I26" s="384"/>
      <c r="J26" s="685"/>
      <c r="K26" s="686"/>
      <c r="L26" s="739">
        <v>270</v>
      </c>
      <c r="M26" s="740">
        <v>781000</v>
      </c>
    </row>
    <row r="27" spans="1:13" x14ac:dyDescent="0.25">
      <c r="A27" s="692" t="s">
        <v>128</v>
      </c>
      <c r="B27" s="729">
        <v>375</v>
      </c>
      <c r="C27" s="730">
        <f t="shared" si="5"/>
        <v>2250000</v>
      </c>
      <c r="D27" s="702">
        <v>429</v>
      </c>
      <c r="E27" s="684">
        <f t="shared" ref="E27:E33" si="6">D27*6000</f>
        <v>2574000</v>
      </c>
      <c r="F27" s="383">
        <v>3</v>
      </c>
      <c r="G27" s="384">
        <f>560000+1600000+2560000</f>
        <v>4720000</v>
      </c>
      <c r="H27" s="30"/>
      <c r="I27" s="384"/>
      <c r="J27" s="685"/>
      <c r="K27" s="686"/>
      <c r="L27" s="739">
        <v>155</v>
      </c>
      <c r="M27" s="740">
        <v>400000</v>
      </c>
    </row>
    <row r="28" spans="1:13" x14ac:dyDescent="0.25">
      <c r="A28" s="692" t="s">
        <v>129</v>
      </c>
      <c r="B28" s="729">
        <v>375</v>
      </c>
      <c r="C28" s="730">
        <f t="shared" si="5"/>
        <v>2250000</v>
      </c>
      <c r="D28" s="702">
        <v>454</v>
      </c>
      <c r="E28" s="684">
        <f t="shared" si="6"/>
        <v>2724000</v>
      </c>
      <c r="F28" s="383">
        <f>1</f>
        <v>1</v>
      </c>
      <c r="G28" s="384">
        <f>1304347.83</f>
        <v>1304347.83</v>
      </c>
      <c r="H28" s="30"/>
      <c r="I28" s="384"/>
      <c r="J28" s="685"/>
      <c r="K28" s="686"/>
      <c r="L28" s="739">
        <v>104</v>
      </c>
      <c r="M28" s="740">
        <v>259000</v>
      </c>
    </row>
    <row r="29" spans="1:13" x14ac:dyDescent="0.25">
      <c r="A29" s="692" t="s">
        <v>130</v>
      </c>
      <c r="B29" s="729">
        <v>639</v>
      </c>
      <c r="C29" s="730">
        <f t="shared" si="5"/>
        <v>3834000</v>
      </c>
      <c r="D29" s="683">
        <v>815</v>
      </c>
      <c r="E29" s="684">
        <f t="shared" si="6"/>
        <v>4890000</v>
      </c>
      <c r="F29" s="383">
        <f>3</f>
        <v>3</v>
      </c>
      <c r="G29" s="384">
        <v>4600000</v>
      </c>
      <c r="H29" s="30"/>
      <c r="I29" s="384"/>
      <c r="J29" s="685"/>
      <c r="K29" s="686"/>
      <c r="L29" s="739">
        <v>111</v>
      </c>
      <c r="M29" s="740">
        <v>347000</v>
      </c>
    </row>
    <row r="30" spans="1:13" x14ac:dyDescent="0.25">
      <c r="A30" s="692" t="s">
        <v>131</v>
      </c>
      <c r="B30" s="729">
        <v>320</v>
      </c>
      <c r="C30" s="730">
        <f t="shared" si="5"/>
        <v>1920000</v>
      </c>
      <c r="D30" s="683">
        <v>289</v>
      </c>
      <c r="E30" s="684">
        <f t="shared" si="6"/>
        <v>1734000</v>
      </c>
      <c r="F30" s="383">
        <v>2</v>
      </c>
      <c r="G30" s="384">
        <f>1091730+1728000</f>
        <v>2819730</v>
      </c>
      <c r="H30" s="30"/>
      <c r="I30" s="384"/>
      <c r="J30" s="685"/>
      <c r="K30" s="686"/>
      <c r="L30" s="739">
        <v>354</v>
      </c>
      <c r="M30" s="740">
        <v>954500</v>
      </c>
    </row>
    <row r="31" spans="1:13" x14ac:dyDescent="0.25">
      <c r="A31" s="692" t="s">
        <v>132</v>
      </c>
      <c r="B31" s="729">
        <v>366</v>
      </c>
      <c r="C31" s="730">
        <f t="shared" si="5"/>
        <v>2196000</v>
      </c>
      <c r="D31" s="683">
        <v>540</v>
      </c>
      <c r="E31" s="684">
        <f t="shared" si="6"/>
        <v>3240000</v>
      </c>
      <c r="F31" s="383">
        <f>2</f>
        <v>2</v>
      </c>
      <c r="G31" s="384">
        <v>3000000</v>
      </c>
      <c r="H31" s="30"/>
      <c r="I31" s="384"/>
      <c r="J31" s="685"/>
      <c r="K31" s="686"/>
      <c r="L31" s="739">
        <v>221</v>
      </c>
      <c r="M31" s="740">
        <v>627500</v>
      </c>
    </row>
    <row r="32" spans="1:13" ht="30" x14ac:dyDescent="0.25">
      <c r="A32" s="692" t="s">
        <v>133</v>
      </c>
      <c r="B32" s="729">
        <v>467</v>
      </c>
      <c r="C32" s="730">
        <f t="shared" si="5"/>
        <v>2802000</v>
      </c>
      <c r="D32" s="683">
        <v>559</v>
      </c>
      <c r="E32" s="684">
        <f t="shared" si="6"/>
        <v>3354000</v>
      </c>
      <c r="F32" s="383">
        <f>3</f>
        <v>3</v>
      </c>
      <c r="G32" s="384">
        <f>1600000+1600000+960000</f>
        <v>4160000</v>
      </c>
      <c r="H32" s="30"/>
      <c r="I32" s="384"/>
      <c r="J32" s="685"/>
      <c r="K32" s="686"/>
      <c r="L32" s="739">
        <v>274</v>
      </c>
      <c r="M32" s="740">
        <v>646500</v>
      </c>
    </row>
    <row r="33" spans="1:13" x14ac:dyDescent="0.25">
      <c r="A33" s="692" t="s">
        <v>134</v>
      </c>
      <c r="B33" s="729">
        <v>423</v>
      </c>
      <c r="C33" s="730">
        <f t="shared" si="5"/>
        <v>2538000</v>
      </c>
      <c r="D33" s="702">
        <v>558</v>
      </c>
      <c r="E33" s="684">
        <f t="shared" si="6"/>
        <v>3348000</v>
      </c>
      <c r="F33" s="383">
        <v>2</v>
      </c>
      <c r="G33" s="384">
        <f>500000+1350000</f>
        <v>1850000</v>
      </c>
      <c r="H33" s="30"/>
      <c r="I33" s="384"/>
      <c r="J33" s="685"/>
      <c r="K33" s="686"/>
      <c r="L33" s="739">
        <v>93</v>
      </c>
      <c r="M33" s="740">
        <v>260000</v>
      </c>
    </row>
    <row r="34" spans="1:13" x14ac:dyDescent="0.25">
      <c r="A34" s="116"/>
      <c r="B34" s="117"/>
      <c r="C34" s="713"/>
      <c r="D34" s="714"/>
      <c r="E34" s="715"/>
      <c r="F34" s="716"/>
      <c r="G34" s="717"/>
      <c r="H34" s="117"/>
      <c r="I34" s="510"/>
      <c r="J34" s="718"/>
      <c r="K34" s="719"/>
      <c r="L34" s="720"/>
      <c r="M34" s="721"/>
    </row>
    <row r="35" spans="1:13" s="672" customFormat="1" ht="29.25" customHeight="1" x14ac:dyDescent="0.25">
      <c r="A35" s="949" t="s">
        <v>3</v>
      </c>
      <c r="B35" s="950" t="s">
        <v>331</v>
      </c>
      <c r="C35" s="951"/>
      <c r="D35" s="951"/>
      <c r="E35" s="952"/>
      <c r="F35" s="950" t="s">
        <v>375</v>
      </c>
      <c r="G35" s="951"/>
      <c r="H35" s="951"/>
      <c r="I35" s="952"/>
      <c r="J35" s="950" t="s">
        <v>81</v>
      </c>
      <c r="K35" s="951"/>
      <c r="L35" s="951"/>
      <c r="M35" s="952"/>
    </row>
    <row r="36" spans="1:13" ht="17.25" customHeight="1" x14ac:dyDescent="0.25">
      <c r="A36" s="949"/>
      <c r="B36" s="938" t="s">
        <v>327</v>
      </c>
      <c r="C36" s="938"/>
      <c r="D36" s="939" t="s">
        <v>333</v>
      </c>
      <c r="E36" s="940"/>
      <c r="F36" s="938" t="s">
        <v>327</v>
      </c>
      <c r="G36" s="938"/>
      <c r="H36" s="939" t="s">
        <v>333</v>
      </c>
      <c r="I36" s="940"/>
      <c r="J36" s="941" t="s">
        <v>60</v>
      </c>
      <c r="K36" s="942"/>
      <c r="L36" s="941" t="s">
        <v>305</v>
      </c>
      <c r="M36" s="942"/>
    </row>
    <row r="37" spans="1:13" ht="45" customHeight="1" x14ac:dyDescent="0.25">
      <c r="A37" s="949"/>
      <c r="B37" s="695" t="s">
        <v>308</v>
      </c>
      <c r="C37" s="639" t="s">
        <v>60</v>
      </c>
      <c r="D37" s="695" t="s">
        <v>332</v>
      </c>
      <c r="E37" s="674" t="s">
        <v>305</v>
      </c>
      <c r="F37" s="695" t="s">
        <v>308</v>
      </c>
      <c r="G37" s="694" t="s">
        <v>60</v>
      </c>
      <c r="H37" s="695" t="s">
        <v>253</v>
      </c>
      <c r="I37" s="674" t="s">
        <v>305</v>
      </c>
      <c r="J37" s="943"/>
      <c r="K37" s="944"/>
      <c r="L37" s="943"/>
      <c r="M37" s="944"/>
    </row>
    <row r="38" spans="1:13" x14ac:dyDescent="0.25">
      <c r="A38" s="676" t="s">
        <v>81</v>
      </c>
      <c r="B38" s="677">
        <f t="shared" ref="B38:J38" si="7">SUM(B39:B46)</f>
        <v>0</v>
      </c>
      <c r="C38" s="678">
        <f t="shared" si="7"/>
        <v>0</v>
      </c>
      <c r="D38" s="677">
        <f t="shared" si="7"/>
        <v>0</v>
      </c>
      <c r="E38" s="678">
        <f t="shared" si="7"/>
        <v>0</v>
      </c>
      <c r="F38" s="677">
        <f t="shared" si="7"/>
        <v>0</v>
      </c>
      <c r="G38" s="678">
        <f t="shared" si="7"/>
        <v>0</v>
      </c>
      <c r="H38" s="677">
        <f t="shared" si="7"/>
        <v>0</v>
      </c>
      <c r="I38" s="678">
        <f t="shared" si="7"/>
        <v>0</v>
      </c>
      <c r="J38" s="945">
        <f t="shared" si="7"/>
        <v>393680077.82999998</v>
      </c>
      <c r="K38" s="946"/>
      <c r="L38" s="945">
        <f>SUM(L39:M46)</f>
        <v>233558314</v>
      </c>
      <c r="M38" s="946"/>
    </row>
    <row r="39" spans="1:13" x14ac:dyDescent="0.25">
      <c r="A39" s="692" t="s">
        <v>127</v>
      </c>
      <c r="B39" s="695"/>
      <c r="C39" s="674"/>
      <c r="D39" s="688"/>
      <c r="E39" s="674"/>
      <c r="F39" s="30"/>
      <c r="G39" s="384"/>
      <c r="H39" s="30"/>
      <c r="I39" s="384"/>
      <c r="J39" s="902">
        <f>C13+G13+K13+C26+G26+K26+C39+G39</f>
        <v>39421000</v>
      </c>
      <c r="K39" s="903"/>
      <c r="L39" s="902">
        <f>E13+I13+M13+E26+I26+M26+E39+I39</f>
        <v>25688400</v>
      </c>
      <c r="M39" s="903"/>
    </row>
    <row r="40" spans="1:13" x14ac:dyDescent="0.25">
      <c r="A40" s="692" t="s">
        <v>128</v>
      </c>
      <c r="B40" s="695"/>
      <c r="C40" s="674"/>
      <c r="D40" s="688"/>
      <c r="E40" s="674"/>
      <c r="F40" s="30"/>
      <c r="G40" s="384"/>
      <c r="H40" s="30"/>
      <c r="I40" s="384"/>
      <c r="J40" s="902">
        <f t="shared" ref="J40:J46" si="8">C14+G14+K14+C27+G27+K27+C40+G40</f>
        <v>36078000</v>
      </c>
      <c r="K40" s="903"/>
      <c r="L40" s="902">
        <f t="shared" ref="L40:L46" si="9">E14+I14+M14+E27+I27+M27+E40+I40</f>
        <v>21432812</v>
      </c>
      <c r="M40" s="903"/>
    </row>
    <row r="41" spans="1:13" x14ac:dyDescent="0.25">
      <c r="A41" s="692" t="s">
        <v>129</v>
      </c>
      <c r="B41" s="695"/>
      <c r="C41" s="674"/>
      <c r="D41" s="688"/>
      <c r="E41" s="674"/>
      <c r="F41" s="30"/>
      <c r="G41" s="384"/>
      <c r="H41" s="30"/>
      <c r="I41" s="384"/>
      <c r="J41" s="902">
        <f t="shared" si="8"/>
        <v>44792347.829999998</v>
      </c>
      <c r="K41" s="903"/>
      <c r="L41" s="902">
        <f t="shared" si="9"/>
        <v>28608270</v>
      </c>
      <c r="M41" s="903"/>
    </row>
    <row r="42" spans="1:13" x14ac:dyDescent="0.25">
      <c r="A42" s="692" t="s">
        <v>130</v>
      </c>
      <c r="B42" s="695"/>
      <c r="C42" s="674"/>
      <c r="D42" s="688"/>
      <c r="E42" s="674"/>
      <c r="F42" s="30"/>
      <c r="G42" s="384"/>
      <c r="H42" s="30"/>
      <c r="I42" s="384"/>
      <c r="J42" s="902">
        <f t="shared" si="8"/>
        <v>33333000</v>
      </c>
      <c r="K42" s="903"/>
      <c r="L42" s="902">
        <f t="shared" si="9"/>
        <v>19991400</v>
      </c>
      <c r="M42" s="903"/>
    </row>
    <row r="43" spans="1:13" x14ac:dyDescent="0.25">
      <c r="A43" s="692" t="s">
        <v>131</v>
      </c>
      <c r="B43" s="695"/>
      <c r="C43" s="674"/>
      <c r="D43" s="688"/>
      <c r="E43" s="674"/>
      <c r="F43" s="30"/>
      <c r="G43" s="384"/>
      <c r="H43" s="30"/>
      <c r="I43" s="384"/>
      <c r="J43" s="902">
        <f t="shared" si="8"/>
        <v>43181730</v>
      </c>
      <c r="K43" s="903"/>
      <c r="L43" s="902">
        <f t="shared" si="9"/>
        <v>27652296</v>
      </c>
      <c r="M43" s="903"/>
    </row>
    <row r="44" spans="1:13" x14ac:dyDescent="0.25">
      <c r="A44" s="692" t="s">
        <v>132</v>
      </c>
      <c r="B44" s="695"/>
      <c r="C44" s="674"/>
      <c r="D44" s="688"/>
      <c r="E44" s="674"/>
      <c r="F44" s="30"/>
      <c r="G44" s="384"/>
      <c r="H44" s="30"/>
      <c r="I44" s="384"/>
      <c r="J44" s="902">
        <f t="shared" si="8"/>
        <v>80527000</v>
      </c>
      <c r="K44" s="903"/>
      <c r="L44" s="902">
        <f t="shared" si="9"/>
        <v>46773260</v>
      </c>
      <c r="M44" s="903"/>
    </row>
    <row r="45" spans="1:13" ht="30" x14ac:dyDescent="0.25">
      <c r="A45" s="692" t="s">
        <v>133</v>
      </c>
      <c r="B45" s="695"/>
      <c r="C45" s="674"/>
      <c r="D45" s="688"/>
      <c r="E45" s="674"/>
      <c r="F45" s="30"/>
      <c r="G45" s="384"/>
      <c r="H45" s="30"/>
      <c r="I45" s="384"/>
      <c r="J45" s="902">
        <f t="shared" si="8"/>
        <v>84097000</v>
      </c>
      <c r="K45" s="903"/>
      <c r="L45" s="902">
        <f t="shared" si="9"/>
        <v>43415300</v>
      </c>
      <c r="M45" s="903"/>
    </row>
    <row r="46" spans="1:13" x14ac:dyDescent="0.25">
      <c r="A46" s="692" t="s">
        <v>134</v>
      </c>
      <c r="B46" s="695"/>
      <c r="C46" s="674"/>
      <c r="D46" s="688"/>
      <c r="E46" s="674"/>
      <c r="F46" s="30"/>
      <c r="G46" s="384"/>
      <c r="H46" s="30"/>
      <c r="I46" s="384"/>
      <c r="J46" s="902">
        <f t="shared" si="8"/>
        <v>32250000</v>
      </c>
      <c r="K46" s="903"/>
      <c r="L46" s="902">
        <f t="shared" si="9"/>
        <v>19996576</v>
      </c>
      <c r="M46" s="903"/>
    </row>
  </sheetData>
  <mergeCells count="53">
    <mergeCell ref="J40:K40"/>
    <mergeCell ref="J41:K41"/>
    <mergeCell ref="J42:K42"/>
    <mergeCell ref="J43:K43"/>
    <mergeCell ref="L40:M40"/>
    <mergeCell ref="L41:M41"/>
    <mergeCell ref="L42:M42"/>
    <mergeCell ref="L43:M43"/>
    <mergeCell ref="J44:K44"/>
    <mergeCell ref="L44:M44"/>
    <mergeCell ref="J45:K45"/>
    <mergeCell ref="L45:M45"/>
    <mergeCell ref="J46:K46"/>
    <mergeCell ref="L46:M46"/>
    <mergeCell ref="J36:K37"/>
    <mergeCell ref="L36:M37"/>
    <mergeCell ref="J38:K38"/>
    <mergeCell ref="L38:M38"/>
    <mergeCell ref="J39:K39"/>
    <mergeCell ref="L39:M39"/>
    <mergeCell ref="L23:M23"/>
    <mergeCell ref="A35:A37"/>
    <mergeCell ref="B35:E35"/>
    <mergeCell ref="F35:I35"/>
    <mergeCell ref="J35:M35"/>
    <mergeCell ref="B36:C36"/>
    <mergeCell ref="D36:E36"/>
    <mergeCell ref="F36:G36"/>
    <mergeCell ref="H36:I36"/>
    <mergeCell ref="A22:A24"/>
    <mergeCell ref="B22:E22"/>
    <mergeCell ref="F22:I22"/>
    <mergeCell ref="J22:M22"/>
    <mergeCell ref="B23:C23"/>
    <mergeCell ref="D23:E23"/>
    <mergeCell ref="F23:G23"/>
    <mergeCell ref="H23:I23"/>
    <mergeCell ref="J23:K23"/>
    <mergeCell ref="B10:C10"/>
    <mergeCell ref="D10:E10"/>
    <mergeCell ref="F10:G10"/>
    <mergeCell ref="H10:I10"/>
    <mergeCell ref="J10:K10"/>
    <mergeCell ref="L10:M10"/>
    <mergeCell ref="A1:M1"/>
    <mergeCell ref="A2:M2"/>
    <mergeCell ref="A3:M3"/>
    <mergeCell ref="A5:M5"/>
    <mergeCell ref="A6:M6"/>
    <mergeCell ref="A9:A11"/>
    <mergeCell ref="B9:E9"/>
    <mergeCell ref="F9:I9"/>
    <mergeCell ref="J9:M9"/>
  </mergeCells>
  <pageMargins left="0.77" right="0.15748031496063" top="0.97" bottom="0.196850393700787" header="0.118110236220472" footer="0.31496062992126"/>
  <pageSetup paperSize="9" scale="85" orientation="portrait"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57"/>
  <sheetViews>
    <sheetView view="pageBreakPreview" topLeftCell="A8" zoomScale="80" zoomScaleNormal="80" zoomScaleSheetLayoutView="80" workbookViewId="0">
      <selection activeCell="M32" sqref="M32"/>
    </sheetView>
  </sheetViews>
  <sheetFormatPr defaultRowHeight="15" x14ac:dyDescent="0.25"/>
  <cols>
    <col min="1" max="1" width="14.28515625" customWidth="1"/>
    <col min="2" max="2" width="11.42578125" customWidth="1"/>
    <col min="3" max="3" width="20.85546875" style="97" customWidth="1"/>
    <col min="4" max="4" width="13.7109375" style="97" customWidth="1"/>
    <col min="5" max="5" width="22" style="97" customWidth="1"/>
    <col min="6" max="6" width="9.5703125" customWidth="1"/>
    <col min="7" max="7" width="19.85546875" customWidth="1"/>
    <col min="8" max="8" width="11.42578125" customWidth="1"/>
    <col min="9" max="9" width="21.28515625" style="97" customWidth="1"/>
    <col min="10" max="10" width="9.5703125" customWidth="1"/>
    <col min="11" max="11" width="20" style="97" customWidth="1"/>
    <col min="12" max="12" width="12.140625" customWidth="1"/>
    <col min="13" max="13" width="21.8554687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352</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87"/>
      <c r="B7" s="487"/>
      <c r="C7" s="487"/>
      <c r="D7" s="487"/>
      <c r="E7" s="487"/>
      <c r="F7" s="487"/>
      <c r="G7" s="487"/>
      <c r="H7" s="487"/>
      <c r="I7" s="487"/>
      <c r="J7" s="487"/>
      <c r="K7" s="487"/>
      <c r="L7" s="487"/>
      <c r="M7" s="487"/>
    </row>
    <row r="8" spans="1:13" ht="18.75" x14ac:dyDescent="0.3">
      <c r="A8" s="489" t="s">
        <v>349</v>
      </c>
      <c r="B8" s="492"/>
      <c r="C8"/>
      <c r="D8" s="493"/>
      <c r="E8"/>
      <c r="I8"/>
      <c r="K8"/>
      <c r="M8"/>
    </row>
    <row r="9" spans="1:13" s="48" customFormat="1" ht="39.75" customHeight="1" x14ac:dyDescent="0.25">
      <c r="A9" s="906" t="s">
        <v>3</v>
      </c>
      <c r="B9" s="913" t="s">
        <v>5</v>
      </c>
      <c r="C9" s="914"/>
      <c r="D9" s="914"/>
      <c r="E9" s="915"/>
      <c r="F9" s="913" t="s">
        <v>7</v>
      </c>
      <c r="G9" s="914"/>
      <c r="H9" s="914"/>
      <c r="I9" s="915"/>
      <c r="J9" s="913" t="s">
        <v>306</v>
      </c>
      <c r="K9" s="914"/>
      <c r="L9" s="914"/>
      <c r="M9" s="915"/>
    </row>
    <row r="10" spans="1:13" ht="21.7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85" t="s">
        <v>307</v>
      </c>
      <c r="C11" s="476" t="s">
        <v>60</v>
      </c>
      <c r="D11" s="485" t="s">
        <v>307</v>
      </c>
      <c r="E11" s="17" t="s">
        <v>305</v>
      </c>
      <c r="F11" s="485" t="s">
        <v>308</v>
      </c>
      <c r="G11" s="486" t="s">
        <v>60</v>
      </c>
      <c r="H11" s="485" t="s">
        <v>308</v>
      </c>
      <c r="I11" s="17" t="s">
        <v>305</v>
      </c>
      <c r="J11" s="485" t="s">
        <v>309</v>
      </c>
      <c r="K11" s="476" t="s">
        <v>60</v>
      </c>
      <c r="L11" s="485" t="s">
        <v>309</v>
      </c>
      <c r="M11" s="17" t="s">
        <v>305</v>
      </c>
    </row>
    <row r="12" spans="1:13" ht="19.5" customHeight="1" x14ac:dyDescent="0.25">
      <c r="A12" s="349" t="s">
        <v>81</v>
      </c>
      <c r="B12" s="477">
        <f t="shared" ref="B12:M12" si="0">SUM(B13:B19)</f>
        <v>19551</v>
      </c>
      <c r="C12" s="351">
        <f t="shared" si="0"/>
        <v>293265000</v>
      </c>
      <c r="D12" s="477">
        <f t="shared" si="0"/>
        <v>18731</v>
      </c>
      <c r="E12" s="646">
        <f t="shared" si="0"/>
        <v>187987400</v>
      </c>
      <c r="F12" s="477">
        <f t="shared" si="0"/>
        <v>1860</v>
      </c>
      <c r="G12" s="351">
        <f t="shared" si="0"/>
        <v>18600000</v>
      </c>
      <c r="H12" s="477">
        <f t="shared" si="0"/>
        <v>797</v>
      </c>
      <c r="I12" s="351">
        <f t="shared" si="0"/>
        <v>4527000</v>
      </c>
      <c r="J12" s="477">
        <f t="shared" si="0"/>
        <v>10700</v>
      </c>
      <c r="K12" s="351">
        <f t="shared" si="0"/>
        <v>16692000</v>
      </c>
      <c r="L12" s="350">
        <f t="shared" si="0"/>
        <v>8700</v>
      </c>
      <c r="M12" s="351">
        <f t="shared" si="0"/>
        <v>7810968</v>
      </c>
    </row>
    <row r="13" spans="1:13" ht="19.5" customHeight="1" x14ac:dyDescent="0.25">
      <c r="A13" s="83" t="s">
        <v>135</v>
      </c>
      <c r="B13" s="424">
        <f>3007-22</f>
        <v>2985</v>
      </c>
      <c r="C13" s="442">
        <f t="shared" ref="C13:C19" si="1">B13*15000</f>
        <v>44775000</v>
      </c>
      <c r="D13" s="774">
        <v>2894</v>
      </c>
      <c r="E13" s="777">
        <v>29777500</v>
      </c>
      <c r="F13" s="383">
        <v>100</v>
      </c>
      <c r="G13" s="384">
        <f>F13*10000</f>
        <v>1000000</v>
      </c>
      <c r="H13" s="743">
        <v>40</v>
      </c>
      <c r="I13" s="1075">
        <v>200000</v>
      </c>
      <c r="J13" s="729">
        <v>1700</v>
      </c>
      <c r="K13" s="730">
        <f>J13*1560</f>
        <v>2652000</v>
      </c>
      <c r="L13" s="345">
        <v>1364</v>
      </c>
      <c r="M13" s="344">
        <v>975260</v>
      </c>
    </row>
    <row r="14" spans="1:13" s="343" customFormat="1" ht="29.25" customHeight="1" x14ac:dyDescent="0.25">
      <c r="A14" s="238" t="s">
        <v>136</v>
      </c>
      <c r="B14" s="424">
        <v>7004</v>
      </c>
      <c r="C14" s="442">
        <f t="shared" si="1"/>
        <v>105060000</v>
      </c>
      <c r="D14" s="774">
        <v>6680</v>
      </c>
      <c r="E14" s="777">
        <v>64594300</v>
      </c>
      <c r="F14" s="383">
        <v>600</v>
      </c>
      <c r="G14" s="384">
        <f t="shared" ref="G14:G19" si="2">F14*10000</f>
        <v>6000000</v>
      </c>
      <c r="H14" s="743">
        <v>100</v>
      </c>
      <c r="I14" s="1075">
        <v>599000</v>
      </c>
      <c r="J14" s="729">
        <v>3800</v>
      </c>
      <c r="K14" s="730">
        <f t="shared" ref="K14:K19" si="3">J14*1560</f>
        <v>5928000</v>
      </c>
      <c r="L14" s="640">
        <v>4293</v>
      </c>
      <c r="M14" s="641">
        <v>3125304</v>
      </c>
    </row>
    <row r="15" spans="1:13" ht="19.5" customHeight="1" x14ac:dyDescent="0.25">
      <c r="A15" s="83" t="s">
        <v>137</v>
      </c>
      <c r="B15" s="424">
        <f>2073-7</f>
        <v>2066</v>
      </c>
      <c r="C15" s="442">
        <f t="shared" si="1"/>
        <v>30990000</v>
      </c>
      <c r="D15" s="774">
        <v>2003</v>
      </c>
      <c r="E15" s="777">
        <v>20005200</v>
      </c>
      <c r="F15" s="383">
        <v>100</v>
      </c>
      <c r="G15" s="384">
        <f t="shared" si="2"/>
        <v>1000000</v>
      </c>
      <c r="H15" s="743">
        <v>96</v>
      </c>
      <c r="I15" s="1075">
        <v>768000</v>
      </c>
      <c r="J15" s="729">
        <v>700</v>
      </c>
      <c r="K15" s="730">
        <f t="shared" si="3"/>
        <v>1092000</v>
      </c>
      <c r="L15" s="345">
        <v>809</v>
      </c>
      <c r="M15" s="344">
        <v>841360</v>
      </c>
    </row>
    <row r="16" spans="1:13" s="343" customFormat="1" ht="28.5" customHeight="1" x14ac:dyDescent="0.25">
      <c r="A16" s="238" t="s">
        <v>138</v>
      </c>
      <c r="B16" s="424">
        <v>1949</v>
      </c>
      <c r="C16" s="442">
        <f t="shared" si="1"/>
        <v>29235000</v>
      </c>
      <c r="D16" s="774">
        <v>1911</v>
      </c>
      <c r="E16" s="777">
        <v>19210400</v>
      </c>
      <c r="F16" s="383">
        <v>250</v>
      </c>
      <c r="G16" s="384">
        <f t="shared" si="2"/>
        <v>2500000</v>
      </c>
      <c r="H16" s="743">
        <v>80</v>
      </c>
      <c r="I16" s="1075">
        <v>550000</v>
      </c>
      <c r="J16" s="729">
        <v>900</v>
      </c>
      <c r="K16" s="730">
        <f t="shared" si="3"/>
        <v>1404000</v>
      </c>
      <c r="L16" s="640">
        <v>1041</v>
      </c>
      <c r="M16" s="641">
        <v>757848</v>
      </c>
    </row>
    <row r="17" spans="1:13" ht="19.5" customHeight="1" x14ac:dyDescent="0.25">
      <c r="A17" s="83" t="s">
        <v>139</v>
      </c>
      <c r="B17" s="424">
        <f>2380-45</f>
        <v>2335</v>
      </c>
      <c r="C17" s="442">
        <f t="shared" si="1"/>
        <v>35025000</v>
      </c>
      <c r="D17" s="774">
        <v>2245</v>
      </c>
      <c r="E17" s="777">
        <v>23504500</v>
      </c>
      <c r="F17" s="383">
        <v>250</v>
      </c>
      <c r="G17" s="384">
        <f t="shared" si="2"/>
        <v>2500000</v>
      </c>
      <c r="H17" s="749">
        <v>30</v>
      </c>
      <c r="I17" s="1076">
        <v>150000</v>
      </c>
      <c r="J17" s="729">
        <v>1000</v>
      </c>
      <c r="K17" s="730">
        <f t="shared" si="3"/>
        <v>1560000</v>
      </c>
      <c r="L17" s="345"/>
      <c r="M17" s="344"/>
    </row>
    <row r="18" spans="1:13" ht="19.5" customHeight="1" x14ac:dyDescent="0.25">
      <c r="A18" s="83" t="s">
        <v>140</v>
      </c>
      <c r="B18" s="424">
        <v>1440</v>
      </c>
      <c r="C18" s="442">
        <f t="shared" si="1"/>
        <v>21600000</v>
      </c>
      <c r="D18" s="774">
        <v>1266</v>
      </c>
      <c r="E18" s="777">
        <v>12884400</v>
      </c>
      <c r="F18" s="383">
        <v>390</v>
      </c>
      <c r="G18" s="384">
        <f t="shared" si="2"/>
        <v>3900000</v>
      </c>
      <c r="H18" s="743">
        <v>51</v>
      </c>
      <c r="I18" s="1075">
        <v>260000</v>
      </c>
      <c r="J18" s="729">
        <v>1200</v>
      </c>
      <c r="K18" s="730">
        <f t="shared" si="3"/>
        <v>1872000</v>
      </c>
      <c r="L18" s="345">
        <v>1193</v>
      </c>
      <c r="M18" s="344">
        <v>2111196</v>
      </c>
    </row>
    <row r="19" spans="1:13" ht="19.5" customHeight="1" x14ac:dyDescent="0.25">
      <c r="A19" s="83" t="s">
        <v>141</v>
      </c>
      <c r="B19" s="424">
        <v>1772</v>
      </c>
      <c r="C19" s="442">
        <f t="shared" si="1"/>
        <v>26580000</v>
      </c>
      <c r="D19" s="774">
        <v>1732</v>
      </c>
      <c r="E19" s="777">
        <v>18011100</v>
      </c>
      <c r="F19" s="383">
        <v>170</v>
      </c>
      <c r="G19" s="384">
        <f t="shared" si="2"/>
        <v>1700000</v>
      </c>
      <c r="H19" s="743">
        <v>400</v>
      </c>
      <c r="I19" s="1075">
        <v>2000000</v>
      </c>
      <c r="J19" s="729">
        <v>1400</v>
      </c>
      <c r="K19" s="730">
        <f t="shared" si="3"/>
        <v>2184000</v>
      </c>
      <c r="L19" s="345"/>
      <c r="M19" s="344"/>
    </row>
    <row r="21" spans="1:13" s="48" customFormat="1" ht="17.25" customHeight="1" x14ac:dyDescent="0.25">
      <c r="A21" s="906" t="s">
        <v>3</v>
      </c>
      <c r="B21" s="913" t="s">
        <v>16</v>
      </c>
      <c r="C21" s="914"/>
      <c r="D21" s="914"/>
      <c r="E21" s="915"/>
      <c r="F21" s="913" t="s">
        <v>421</v>
      </c>
      <c r="G21" s="914"/>
      <c r="H21" s="914"/>
      <c r="I21" s="915"/>
      <c r="J21" s="913" t="s">
        <v>329</v>
      </c>
      <c r="K21" s="914"/>
      <c r="L21" s="914"/>
      <c r="M21" s="915"/>
    </row>
    <row r="22" spans="1:13" ht="18.75" customHeight="1" x14ac:dyDescent="0.25">
      <c r="A22" s="906"/>
      <c r="B22" s="899" t="s">
        <v>327</v>
      </c>
      <c r="C22" s="899"/>
      <c r="D22" s="900" t="s">
        <v>333</v>
      </c>
      <c r="E22" s="901"/>
      <c r="F22" s="899" t="s">
        <v>327</v>
      </c>
      <c r="G22" s="899"/>
      <c r="H22" s="900" t="s">
        <v>333</v>
      </c>
      <c r="I22" s="901"/>
      <c r="J22" s="899" t="s">
        <v>327</v>
      </c>
      <c r="K22" s="899"/>
      <c r="L22" s="900" t="s">
        <v>333</v>
      </c>
      <c r="M22" s="901"/>
    </row>
    <row r="23" spans="1:13" ht="45" customHeight="1" x14ac:dyDescent="0.25">
      <c r="A23" s="906"/>
      <c r="B23" s="485" t="s">
        <v>330</v>
      </c>
      <c r="C23" s="476" t="s">
        <v>60</v>
      </c>
      <c r="D23" s="485" t="s">
        <v>330</v>
      </c>
      <c r="E23" s="17" t="s">
        <v>305</v>
      </c>
      <c r="F23" s="485" t="s">
        <v>253</v>
      </c>
      <c r="G23" s="486" t="s">
        <v>60</v>
      </c>
      <c r="H23" s="485" t="s">
        <v>253</v>
      </c>
      <c r="I23" s="476" t="s">
        <v>305</v>
      </c>
      <c r="J23" s="485" t="s">
        <v>310</v>
      </c>
      <c r="K23" s="476" t="s">
        <v>60</v>
      </c>
      <c r="L23" s="485" t="s">
        <v>310</v>
      </c>
      <c r="M23" s="17" t="s">
        <v>305</v>
      </c>
    </row>
    <row r="24" spans="1:13" ht="22.5" customHeight="1" x14ac:dyDescent="0.25">
      <c r="A24" s="349" t="s">
        <v>81</v>
      </c>
      <c r="B24" s="477">
        <f t="shared" ref="B24:M24" si="4">SUM(B25:B31)</f>
        <v>2747</v>
      </c>
      <c r="C24" s="351">
        <f t="shared" si="4"/>
        <v>16482000</v>
      </c>
      <c r="D24" s="477">
        <f t="shared" si="4"/>
        <v>3696</v>
      </c>
      <c r="E24" s="351">
        <f t="shared" si="4"/>
        <v>22176000</v>
      </c>
      <c r="F24" s="477">
        <f t="shared" si="4"/>
        <v>9</v>
      </c>
      <c r="G24" s="351">
        <f t="shared" si="4"/>
        <v>18520338.5</v>
      </c>
      <c r="H24" s="477">
        <f t="shared" si="4"/>
        <v>0</v>
      </c>
      <c r="I24" s="351">
        <f t="shared" si="4"/>
        <v>0</v>
      </c>
      <c r="J24" s="477">
        <f t="shared" si="4"/>
        <v>0</v>
      </c>
      <c r="K24" s="351">
        <f t="shared" si="4"/>
        <v>0</v>
      </c>
      <c r="L24" s="350">
        <f t="shared" si="4"/>
        <v>879</v>
      </c>
      <c r="M24" s="351">
        <f t="shared" si="4"/>
        <v>2499500</v>
      </c>
    </row>
    <row r="25" spans="1:13" ht="22.5" customHeight="1" x14ac:dyDescent="0.25">
      <c r="A25" s="83" t="s">
        <v>135</v>
      </c>
      <c r="B25" s="729">
        <v>375</v>
      </c>
      <c r="C25" s="730">
        <f t="shared" ref="C25:C31" si="5">B25*500*12</f>
        <v>2250000</v>
      </c>
      <c r="D25" s="647">
        <v>787</v>
      </c>
      <c r="E25" s="648">
        <f>D25*6000</f>
        <v>4722000</v>
      </c>
      <c r="F25" s="383">
        <f>2</f>
        <v>2</v>
      </c>
      <c r="G25" s="384">
        <f>1600000+600000</f>
        <v>2200000</v>
      </c>
      <c r="H25" s="30"/>
      <c r="I25" s="384"/>
      <c r="J25" s="478"/>
      <c r="K25" s="386"/>
      <c r="L25" s="739">
        <v>5</v>
      </c>
      <c r="M25" s="740">
        <v>11000</v>
      </c>
    </row>
    <row r="26" spans="1:13" ht="32.25" customHeight="1" x14ac:dyDescent="0.25">
      <c r="A26" s="83" t="s">
        <v>136</v>
      </c>
      <c r="B26" s="729">
        <v>601</v>
      </c>
      <c r="C26" s="730">
        <f t="shared" si="5"/>
        <v>3606000</v>
      </c>
      <c r="D26" s="101">
        <v>798</v>
      </c>
      <c r="E26" s="648">
        <f t="shared" ref="E26:E31" si="6">D26*6000</f>
        <v>4788000</v>
      </c>
      <c r="F26" s="383">
        <f>3</f>
        <v>3</v>
      </c>
      <c r="G26" s="384">
        <f>816906+5000000+3000000</f>
        <v>8816906</v>
      </c>
      <c r="H26" s="30"/>
      <c r="I26" s="384"/>
      <c r="J26" s="478"/>
      <c r="K26" s="386"/>
      <c r="L26" s="739">
        <v>665</v>
      </c>
      <c r="M26" s="740">
        <v>1896000</v>
      </c>
    </row>
    <row r="27" spans="1:13" ht="22.5" customHeight="1" x14ac:dyDescent="0.25">
      <c r="A27" s="83" t="s">
        <v>137</v>
      </c>
      <c r="B27" s="729">
        <v>381</v>
      </c>
      <c r="C27" s="730">
        <f t="shared" si="5"/>
        <v>2286000</v>
      </c>
      <c r="D27" s="101">
        <v>474</v>
      </c>
      <c r="E27" s="648">
        <f t="shared" si="6"/>
        <v>2844000</v>
      </c>
      <c r="F27" s="383"/>
      <c r="G27" s="384"/>
      <c r="H27" s="30"/>
      <c r="I27" s="384"/>
      <c r="J27" s="478"/>
      <c r="K27" s="386"/>
      <c r="L27" s="739">
        <v>2</v>
      </c>
      <c r="M27" s="740">
        <v>5500</v>
      </c>
    </row>
    <row r="28" spans="1:13" s="343" customFormat="1" ht="28.5" customHeight="1" x14ac:dyDescent="0.25">
      <c r="A28" s="238" t="s">
        <v>138</v>
      </c>
      <c r="B28" s="729">
        <v>373</v>
      </c>
      <c r="C28" s="730">
        <f t="shared" si="5"/>
        <v>2238000</v>
      </c>
      <c r="D28" s="651">
        <v>189</v>
      </c>
      <c r="E28" s="648">
        <f t="shared" si="6"/>
        <v>1134000</v>
      </c>
      <c r="F28" s="383">
        <f>1</f>
        <v>1</v>
      </c>
      <c r="G28" s="384">
        <f>1000000</f>
        <v>1000000</v>
      </c>
      <c r="H28" s="30"/>
      <c r="I28" s="384"/>
      <c r="J28" s="478"/>
      <c r="K28" s="386"/>
      <c r="L28" s="739">
        <v>89</v>
      </c>
      <c r="M28" s="740">
        <v>253500</v>
      </c>
    </row>
    <row r="29" spans="1:13" ht="22.5" customHeight="1" x14ac:dyDescent="0.25">
      <c r="A29" s="83" t="s">
        <v>139</v>
      </c>
      <c r="B29" s="729">
        <v>337</v>
      </c>
      <c r="C29" s="730">
        <f t="shared" si="5"/>
        <v>2022000</v>
      </c>
      <c r="D29" s="101">
        <v>422</v>
      </c>
      <c r="E29" s="648">
        <f t="shared" si="6"/>
        <v>2532000</v>
      </c>
      <c r="F29" s="383">
        <f>1</f>
        <v>1</v>
      </c>
      <c r="G29" s="384">
        <f>3003432.5</f>
        <v>3003432.5</v>
      </c>
      <c r="H29" s="30"/>
      <c r="I29" s="384"/>
      <c r="J29" s="478"/>
      <c r="K29" s="386"/>
      <c r="L29" s="739">
        <v>59</v>
      </c>
      <c r="M29" s="740">
        <v>149500</v>
      </c>
    </row>
    <row r="30" spans="1:13" ht="22.5" customHeight="1" x14ac:dyDescent="0.25">
      <c r="A30" s="83" t="s">
        <v>140</v>
      </c>
      <c r="B30" s="729">
        <v>350</v>
      </c>
      <c r="C30" s="730">
        <f t="shared" si="5"/>
        <v>2100000</v>
      </c>
      <c r="D30" s="647">
        <v>537</v>
      </c>
      <c r="E30" s="648">
        <f t="shared" si="6"/>
        <v>3222000</v>
      </c>
      <c r="F30" s="383"/>
      <c r="G30" s="384"/>
      <c r="H30" s="30"/>
      <c r="I30" s="384"/>
      <c r="J30" s="478"/>
      <c r="K30" s="386"/>
      <c r="L30" s="739">
        <v>41</v>
      </c>
      <c r="M30" s="740">
        <v>135500</v>
      </c>
    </row>
    <row r="31" spans="1:13" ht="22.5" customHeight="1" x14ac:dyDescent="0.25">
      <c r="A31" s="83" t="s">
        <v>141</v>
      </c>
      <c r="B31" s="729">
        <v>330</v>
      </c>
      <c r="C31" s="730">
        <f t="shared" si="5"/>
        <v>1980000</v>
      </c>
      <c r="D31" s="647">
        <v>489</v>
      </c>
      <c r="E31" s="648">
        <f t="shared" si="6"/>
        <v>2934000</v>
      </c>
      <c r="F31" s="383">
        <v>2</v>
      </c>
      <c r="G31" s="384">
        <v>3500000</v>
      </c>
      <c r="H31" s="30"/>
      <c r="I31" s="384"/>
      <c r="J31" s="478"/>
      <c r="K31" s="386"/>
      <c r="L31" s="739">
        <v>18</v>
      </c>
      <c r="M31" s="740">
        <v>48500</v>
      </c>
    </row>
    <row r="33" spans="1:13" s="48" customFormat="1" ht="43.5" customHeight="1" x14ac:dyDescent="0.25">
      <c r="A33" s="906" t="s">
        <v>3</v>
      </c>
      <c r="B33" s="913" t="s">
        <v>331</v>
      </c>
      <c r="C33" s="914"/>
      <c r="D33" s="914"/>
      <c r="E33" s="915"/>
      <c r="F33" s="913" t="s">
        <v>375</v>
      </c>
      <c r="G33" s="914"/>
      <c r="H33" s="914"/>
      <c r="I33" s="915"/>
      <c r="J33" s="913" t="s">
        <v>23</v>
      </c>
      <c r="K33" s="914"/>
      <c r="L33" s="914"/>
      <c r="M33" s="915"/>
    </row>
    <row r="34" spans="1:13" ht="15.75" customHeight="1" x14ac:dyDescent="0.25">
      <c r="A34" s="906"/>
      <c r="B34" s="899" t="s">
        <v>327</v>
      </c>
      <c r="C34" s="899"/>
      <c r="D34" s="900" t="s">
        <v>333</v>
      </c>
      <c r="E34" s="901"/>
      <c r="F34" s="899" t="s">
        <v>327</v>
      </c>
      <c r="G34" s="899"/>
      <c r="H34" s="900" t="s">
        <v>333</v>
      </c>
      <c r="I34" s="901"/>
      <c r="J34" s="899" t="s">
        <v>327</v>
      </c>
      <c r="K34" s="899"/>
      <c r="L34" s="900" t="s">
        <v>333</v>
      </c>
      <c r="M34" s="901"/>
    </row>
    <row r="35" spans="1:13" ht="45" customHeight="1" x14ac:dyDescent="0.25">
      <c r="A35" s="906"/>
      <c r="B35" s="485" t="s">
        <v>308</v>
      </c>
      <c r="C35" s="476" t="s">
        <v>60</v>
      </c>
      <c r="D35" s="485" t="s">
        <v>332</v>
      </c>
      <c r="E35" s="17" t="s">
        <v>305</v>
      </c>
      <c r="F35" s="485" t="s">
        <v>308</v>
      </c>
      <c r="G35" s="486" t="s">
        <v>60</v>
      </c>
      <c r="H35" s="485" t="s">
        <v>253</v>
      </c>
      <c r="I35" s="17" t="s">
        <v>305</v>
      </c>
      <c r="J35" s="494" t="s">
        <v>308</v>
      </c>
      <c r="K35" s="495" t="s">
        <v>60</v>
      </c>
      <c r="L35" s="494" t="s">
        <v>253</v>
      </c>
      <c r="M35" s="17" t="s">
        <v>305</v>
      </c>
    </row>
    <row r="36" spans="1:13" x14ac:dyDescent="0.25">
      <c r="A36" s="349" t="s">
        <v>81</v>
      </c>
      <c r="B36" s="477">
        <f t="shared" ref="B36:I36" si="7">SUM(B37:B43)</f>
        <v>0</v>
      </c>
      <c r="C36" s="351">
        <f t="shared" si="7"/>
        <v>0</v>
      </c>
      <c r="D36" s="477">
        <f t="shared" si="7"/>
        <v>4</v>
      </c>
      <c r="E36" s="351">
        <f t="shared" si="7"/>
        <v>10800</v>
      </c>
      <c r="F36" s="477">
        <f t="shared" si="7"/>
        <v>0</v>
      </c>
      <c r="G36" s="351">
        <f t="shared" si="7"/>
        <v>0</v>
      </c>
      <c r="H36" s="477">
        <f t="shared" si="7"/>
        <v>0</v>
      </c>
      <c r="I36" s="351">
        <f t="shared" si="7"/>
        <v>0</v>
      </c>
      <c r="J36" s="477">
        <f>SUM(J37:J43)</f>
        <v>0</v>
      </c>
      <c r="K36" s="351">
        <f>SUM(K37:K43)</f>
        <v>0</v>
      </c>
      <c r="L36" s="477">
        <f>SUM(L37:L44)</f>
        <v>0</v>
      </c>
      <c r="M36" s="351">
        <f>SUM(M37:M44)</f>
        <v>0</v>
      </c>
    </row>
    <row r="37" spans="1:13" x14ac:dyDescent="0.25">
      <c r="A37" s="83" t="s">
        <v>135</v>
      </c>
      <c r="B37" s="485"/>
      <c r="C37" s="17"/>
      <c r="D37" s="739"/>
      <c r="E37" s="740"/>
      <c r="F37" s="30"/>
      <c r="G37" s="384"/>
      <c r="H37" s="30"/>
      <c r="I37" s="384"/>
      <c r="J37" s="30"/>
      <c r="K37" s="384"/>
      <c r="L37" s="30"/>
      <c r="M37" s="384"/>
    </row>
    <row r="38" spans="1:13" ht="30" x14ac:dyDescent="0.25">
      <c r="A38" s="83" t="s">
        <v>136</v>
      </c>
      <c r="B38" s="485"/>
      <c r="C38" s="17"/>
      <c r="D38" s="739">
        <v>2</v>
      </c>
      <c r="E38" s="740">
        <v>800</v>
      </c>
      <c r="F38" s="30"/>
      <c r="G38" s="384"/>
      <c r="H38" s="30"/>
      <c r="I38" s="384"/>
      <c r="J38" s="30"/>
      <c r="K38" s="384"/>
      <c r="L38" s="30"/>
      <c r="M38" s="384"/>
    </row>
    <row r="39" spans="1:13" x14ac:dyDescent="0.25">
      <c r="A39" s="83" t="s">
        <v>137</v>
      </c>
      <c r="B39" s="485"/>
      <c r="C39" s="17"/>
      <c r="D39" s="739"/>
      <c r="E39" s="740"/>
      <c r="F39" s="30"/>
      <c r="G39" s="384"/>
      <c r="H39" s="30"/>
      <c r="I39" s="384"/>
      <c r="J39" s="30"/>
      <c r="K39" s="384"/>
      <c r="L39" s="30"/>
      <c r="M39" s="384"/>
    </row>
    <row r="40" spans="1:13" ht="34.5" customHeight="1" x14ac:dyDescent="0.25">
      <c r="A40" s="83" t="s">
        <v>138</v>
      </c>
      <c r="B40" s="485"/>
      <c r="C40" s="17"/>
      <c r="D40" s="739"/>
      <c r="E40" s="740"/>
      <c r="F40" s="30"/>
      <c r="G40" s="384"/>
      <c r="H40" s="30"/>
      <c r="I40" s="384"/>
      <c r="J40" s="30"/>
      <c r="K40" s="384"/>
      <c r="L40" s="30"/>
      <c r="M40" s="384"/>
    </row>
    <row r="41" spans="1:13" x14ac:dyDescent="0.25">
      <c r="A41" s="83" t="s">
        <v>139</v>
      </c>
      <c r="B41" s="485"/>
      <c r="C41" s="17"/>
      <c r="D41" s="739">
        <v>1</v>
      </c>
      <c r="E41" s="740">
        <v>5000</v>
      </c>
      <c r="F41" s="30"/>
      <c r="G41" s="384"/>
      <c r="H41" s="30"/>
      <c r="I41" s="384"/>
      <c r="J41" s="30"/>
      <c r="K41" s="384"/>
      <c r="L41" s="30"/>
      <c r="M41" s="384"/>
    </row>
    <row r="42" spans="1:13" x14ac:dyDescent="0.25">
      <c r="A42" s="83" t="s">
        <v>140</v>
      </c>
      <c r="B42" s="485"/>
      <c r="C42" s="17"/>
      <c r="D42" s="739">
        <v>1</v>
      </c>
      <c r="E42" s="740">
        <v>5000</v>
      </c>
      <c r="F42" s="30"/>
      <c r="G42" s="384"/>
      <c r="H42" s="30"/>
      <c r="I42" s="384"/>
      <c r="J42" s="30"/>
      <c r="K42" s="384"/>
      <c r="L42" s="30"/>
      <c r="M42" s="384"/>
    </row>
    <row r="43" spans="1:13" x14ac:dyDescent="0.25">
      <c r="A43" s="83" t="s">
        <v>141</v>
      </c>
      <c r="B43" s="485"/>
      <c r="C43" s="17"/>
      <c r="D43" s="739"/>
      <c r="E43" s="740"/>
      <c r="F43" s="30"/>
      <c r="G43" s="384"/>
      <c r="H43" s="30"/>
      <c r="I43" s="384"/>
      <c r="J43" s="30"/>
      <c r="K43" s="384"/>
      <c r="L43" s="30"/>
      <c r="M43" s="384"/>
    </row>
    <row r="44" spans="1:13" ht="30" x14ac:dyDescent="0.25">
      <c r="A44" s="83" t="s">
        <v>395</v>
      </c>
      <c r="B44" s="567"/>
      <c r="C44" s="17"/>
      <c r="D44" s="20"/>
      <c r="E44" s="17"/>
      <c r="F44" s="30"/>
      <c r="G44" s="384"/>
      <c r="H44" s="30"/>
      <c r="I44" s="384"/>
      <c r="J44" s="30"/>
      <c r="K44" s="384"/>
      <c r="L44" s="30"/>
      <c r="M44" s="384"/>
    </row>
    <row r="46" spans="1:13" ht="15" customHeight="1" x14ac:dyDescent="0.25">
      <c r="A46" s="906" t="s">
        <v>3</v>
      </c>
      <c r="B46" s="913" t="s">
        <v>420</v>
      </c>
      <c r="C46" s="914"/>
      <c r="D46" s="914"/>
      <c r="E46" s="915"/>
      <c r="F46" s="913" t="s">
        <v>81</v>
      </c>
      <c r="G46" s="914"/>
      <c r="H46" s="914"/>
      <c r="I46" s="915"/>
    </row>
    <row r="47" spans="1:13" x14ac:dyDescent="0.25">
      <c r="A47" s="906"/>
      <c r="B47" s="899" t="s">
        <v>327</v>
      </c>
      <c r="C47" s="899"/>
      <c r="D47" s="900" t="s">
        <v>333</v>
      </c>
      <c r="E47" s="901"/>
      <c r="F47" s="907" t="s">
        <v>60</v>
      </c>
      <c r="G47" s="908"/>
      <c r="H47" s="907" t="s">
        <v>305</v>
      </c>
      <c r="I47" s="908"/>
    </row>
    <row r="48" spans="1:13" ht="30" x14ac:dyDescent="0.25">
      <c r="A48" s="906"/>
      <c r="B48" s="634" t="s">
        <v>308</v>
      </c>
      <c r="C48" s="633" t="s">
        <v>60</v>
      </c>
      <c r="D48" s="634" t="s">
        <v>253</v>
      </c>
      <c r="E48" s="17" t="s">
        <v>305</v>
      </c>
      <c r="F48" s="909"/>
      <c r="G48" s="910"/>
      <c r="H48" s="909"/>
      <c r="I48" s="910"/>
    </row>
    <row r="49" spans="1:9" x14ac:dyDescent="0.25">
      <c r="A49" s="349" t="s">
        <v>81</v>
      </c>
      <c r="B49" s="477">
        <f>SUM(B50:B56)</f>
        <v>0</v>
      </c>
      <c r="C49" s="351">
        <f>SUM(C50:C56)</f>
        <v>0</v>
      </c>
      <c r="D49" s="477">
        <f>SUM(D50:D57)</f>
        <v>0</v>
      </c>
      <c r="E49" s="351">
        <f>SUM(E50:E57)</f>
        <v>0</v>
      </c>
      <c r="F49" s="904">
        <f>SUM(F50:F56)</f>
        <v>363559338.5</v>
      </c>
      <c r="G49" s="905"/>
      <c r="H49" s="904">
        <f>SUM(H50:H57)</f>
        <v>225011668</v>
      </c>
      <c r="I49" s="905"/>
    </row>
    <row r="50" spans="1:9" x14ac:dyDescent="0.25">
      <c r="A50" s="83" t="s">
        <v>135</v>
      </c>
      <c r="B50" s="30"/>
      <c r="C50" s="384"/>
      <c r="D50" s="30"/>
      <c r="E50" s="384"/>
      <c r="F50" s="1017">
        <f>C13+G13+K13+C25+G25+K25+C37+G37+K37+C50</f>
        <v>52877000</v>
      </c>
      <c r="G50" s="901"/>
      <c r="H50" s="1017">
        <f>E13+I13+M13+E25+I25+M25+E37+I37+M37+E50</f>
        <v>35685760</v>
      </c>
      <c r="I50" s="1032"/>
    </row>
    <row r="51" spans="1:9" ht="30" x14ac:dyDescent="0.25">
      <c r="A51" s="83" t="s">
        <v>136</v>
      </c>
      <c r="B51" s="30"/>
      <c r="C51" s="384"/>
      <c r="D51" s="30"/>
      <c r="E51" s="384"/>
      <c r="F51" s="1017">
        <f t="shared" ref="F51:F57" si="8">C14+G14+K14+C26+G26+K26+C38+G38+K38+C51</f>
        <v>129410906</v>
      </c>
      <c r="G51" s="901"/>
      <c r="H51" s="1017">
        <f t="shared" ref="H51:H57" si="9">E14+I14+M14+E26+I26+M26+E38+I38+M38+E51</f>
        <v>75003404</v>
      </c>
      <c r="I51" s="1032"/>
    </row>
    <row r="52" spans="1:9" x14ac:dyDescent="0.25">
      <c r="A52" s="83" t="s">
        <v>137</v>
      </c>
      <c r="B52" s="30"/>
      <c r="C52" s="384"/>
      <c r="D52" s="30"/>
      <c r="E52" s="384"/>
      <c r="F52" s="1017">
        <f t="shared" si="8"/>
        <v>35368000</v>
      </c>
      <c r="G52" s="901"/>
      <c r="H52" s="1017">
        <f t="shared" si="9"/>
        <v>24464060</v>
      </c>
      <c r="I52" s="1032"/>
    </row>
    <row r="53" spans="1:9" x14ac:dyDescent="0.25">
      <c r="A53" s="83" t="s">
        <v>138</v>
      </c>
      <c r="B53" s="30"/>
      <c r="C53" s="384"/>
      <c r="D53" s="30"/>
      <c r="E53" s="384"/>
      <c r="F53" s="1017">
        <f t="shared" si="8"/>
        <v>36377000</v>
      </c>
      <c r="G53" s="901"/>
      <c r="H53" s="1017">
        <f t="shared" si="9"/>
        <v>21905748</v>
      </c>
      <c r="I53" s="1032"/>
    </row>
    <row r="54" spans="1:9" x14ac:dyDescent="0.25">
      <c r="A54" s="83" t="s">
        <v>139</v>
      </c>
      <c r="B54" s="30"/>
      <c r="C54" s="384"/>
      <c r="D54" s="30"/>
      <c r="E54" s="384"/>
      <c r="F54" s="1017">
        <f t="shared" si="8"/>
        <v>44110432.5</v>
      </c>
      <c r="G54" s="901"/>
      <c r="H54" s="1017">
        <f t="shared" si="9"/>
        <v>26341000</v>
      </c>
      <c r="I54" s="1032"/>
    </row>
    <row r="55" spans="1:9" x14ac:dyDescent="0.25">
      <c r="A55" s="83" t="s">
        <v>140</v>
      </c>
      <c r="B55" s="30"/>
      <c r="C55" s="384"/>
      <c r="D55" s="30"/>
      <c r="E55" s="384"/>
      <c r="F55" s="1017">
        <f t="shared" si="8"/>
        <v>29472000</v>
      </c>
      <c r="G55" s="901"/>
      <c r="H55" s="1017">
        <f t="shared" si="9"/>
        <v>18618096</v>
      </c>
      <c r="I55" s="1032"/>
    </row>
    <row r="56" spans="1:9" x14ac:dyDescent="0.25">
      <c r="A56" s="83" t="s">
        <v>141</v>
      </c>
      <c r="B56" s="30"/>
      <c r="C56" s="384"/>
      <c r="D56" s="30"/>
      <c r="E56" s="384"/>
      <c r="F56" s="1017">
        <f t="shared" si="8"/>
        <v>35944000</v>
      </c>
      <c r="G56" s="901"/>
      <c r="H56" s="1017">
        <f t="shared" si="9"/>
        <v>22993600</v>
      </c>
      <c r="I56" s="1032"/>
    </row>
    <row r="57" spans="1:9" ht="30" x14ac:dyDescent="0.25">
      <c r="A57" s="83" t="s">
        <v>395</v>
      </c>
      <c r="B57" s="30"/>
      <c r="C57" s="384"/>
      <c r="D57" s="30"/>
      <c r="E57" s="384"/>
      <c r="F57" s="1017">
        <f t="shared" si="8"/>
        <v>0</v>
      </c>
      <c r="G57" s="901"/>
      <c r="H57" s="1017">
        <f t="shared" si="9"/>
        <v>0</v>
      </c>
      <c r="I57" s="1032"/>
    </row>
  </sheetData>
  <mergeCells count="60">
    <mergeCell ref="F54:G54"/>
    <mergeCell ref="F55:G55"/>
    <mergeCell ref="F56:G56"/>
    <mergeCell ref="H49:I49"/>
    <mergeCell ref="H50:I50"/>
    <mergeCell ref="H51:I51"/>
    <mergeCell ref="H52:I52"/>
    <mergeCell ref="H53:I53"/>
    <mergeCell ref="H54:I54"/>
    <mergeCell ref="H55:I55"/>
    <mergeCell ref="H56:I56"/>
    <mergeCell ref="F49:G49"/>
    <mergeCell ref="F50:G50"/>
    <mergeCell ref="F51:G51"/>
    <mergeCell ref="F52:G52"/>
    <mergeCell ref="F53:G53"/>
    <mergeCell ref="A46:A48"/>
    <mergeCell ref="F46:I46"/>
    <mergeCell ref="F47:G48"/>
    <mergeCell ref="H47:I48"/>
    <mergeCell ref="J34:K34"/>
    <mergeCell ref="A33:A35"/>
    <mergeCell ref="B33:E33"/>
    <mergeCell ref="F33:I33"/>
    <mergeCell ref="J33:M33"/>
    <mergeCell ref="B34:C34"/>
    <mergeCell ref="D34:E34"/>
    <mergeCell ref="F34:G34"/>
    <mergeCell ref="H34:I34"/>
    <mergeCell ref="B46:E46"/>
    <mergeCell ref="B47:C47"/>
    <mergeCell ref="D47:E47"/>
    <mergeCell ref="A21:A23"/>
    <mergeCell ref="B21:E21"/>
    <mergeCell ref="F21:I21"/>
    <mergeCell ref="J21:M21"/>
    <mergeCell ref="B22:C22"/>
    <mergeCell ref="D22:E22"/>
    <mergeCell ref="D10:E10"/>
    <mergeCell ref="F10:G10"/>
    <mergeCell ref="H10:I10"/>
    <mergeCell ref="J10:K10"/>
    <mergeCell ref="L34:M34"/>
    <mergeCell ref="L22:M22"/>
    <mergeCell ref="F57:G57"/>
    <mergeCell ref="H57:I57"/>
    <mergeCell ref="L10:M10"/>
    <mergeCell ref="A1:M1"/>
    <mergeCell ref="A2:M2"/>
    <mergeCell ref="A3:M3"/>
    <mergeCell ref="A5:M5"/>
    <mergeCell ref="A6:M6"/>
    <mergeCell ref="A9:A11"/>
    <mergeCell ref="B9:E9"/>
    <mergeCell ref="F9:I9"/>
    <mergeCell ref="J9:M9"/>
    <mergeCell ref="F22:G22"/>
    <mergeCell ref="H22:I22"/>
    <mergeCell ref="J22:K22"/>
    <mergeCell ref="B10:C10"/>
  </mergeCells>
  <pageMargins left="1.42" right="0.118110236220472" top="0.8" bottom="0.118110236220472" header="0.43307086614173201" footer="0.31496062992126"/>
  <pageSetup paperSize="9" scale="60" orientation="portrait"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48"/>
  <sheetViews>
    <sheetView view="pageBreakPreview" topLeftCell="A5" zoomScale="80" zoomScaleNormal="80" zoomScaleSheetLayoutView="80" workbookViewId="0">
      <selection activeCell="M34" sqref="M34"/>
    </sheetView>
  </sheetViews>
  <sheetFormatPr defaultRowHeight="15" x14ac:dyDescent="0.25"/>
  <cols>
    <col min="1" max="1" width="17.7109375" customWidth="1"/>
    <col min="2" max="2" width="11.42578125" customWidth="1"/>
    <col min="3" max="3" width="22.28515625" style="97" customWidth="1"/>
    <col min="4" max="4" width="12" style="97" customWidth="1"/>
    <col min="5" max="5" width="22.7109375" style="97" customWidth="1"/>
    <col min="6" max="6" width="9.5703125" customWidth="1"/>
    <col min="7" max="7" width="18" customWidth="1"/>
    <col min="8" max="8" width="11" customWidth="1"/>
    <col min="9" max="9" width="19.85546875" style="97" customWidth="1"/>
    <col min="10" max="10" width="11.5703125" customWidth="1"/>
    <col min="11" max="11" width="18.7109375" style="97" customWidth="1"/>
    <col min="12" max="12" width="11.42578125" customWidth="1"/>
    <col min="13" max="13" width="22.28515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351</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87"/>
      <c r="B7" s="487"/>
      <c r="C7" s="487"/>
      <c r="D7" s="487"/>
      <c r="E7" s="487"/>
      <c r="F7" s="487"/>
      <c r="G7" s="487"/>
      <c r="H7" s="487"/>
      <c r="I7" s="487"/>
      <c r="J7" s="487"/>
      <c r="K7" s="487"/>
      <c r="L7" s="487"/>
      <c r="M7" s="487"/>
    </row>
    <row r="8" spans="1:13" ht="18.75" x14ac:dyDescent="0.3">
      <c r="A8" s="489" t="s">
        <v>350</v>
      </c>
      <c r="B8" s="492"/>
      <c r="C8"/>
      <c r="D8" s="493"/>
      <c r="E8"/>
      <c r="I8"/>
      <c r="K8"/>
      <c r="M8"/>
    </row>
    <row r="9" spans="1:13" s="48" customFormat="1" ht="35.25" customHeight="1" x14ac:dyDescent="0.25">
      <c r="A9" s="906" t="s">
        <v>3</v>
      </c>
      <c r="B9" s="913" t="s">
        <v>5</v>
      </c>
      <c r="C9" s="914"/>
      <c r="D9" s="914"/>
      <c r="E9" s="915"/>
      <c r="F9" s="913" t="s">
        <v>7</v>
      </c>
      <c r="G9" s="914"/>
      <c r="H9" s="914"/>
      <c r="I9" s="915"/>
      <c r="J9" s="913" t="s">
        <v>306</v>
      </c>
      <c r="K9" s="914"/>
      <c r="L9" s="914"/>
      <c r="M9" s="915"/>
    </row>
    <row r="10" spans="1:13" ht="16.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85" t="s">
        <v>307</v>
      </c>
      <c r="C11" s="476" t="s">
        <v>60</v>
      </c>
      <c r="D11" s="485" t="s">
        <v>307</v>
      </c>
      <c r="E11" s="17" t="s">
        <v>305</v>
      </c>
      <c r="F11" s="485" t="s">
        <v>308</v>
      </c>
      <c r="G11" s="486" t="s">
        <v>60</v>
      </c>
      <c r="H11" s="485" t="s">
        <v>308</v>
      </c>
      <c r="I11" s="17" t="s">
        <v>305</v>
      </c>
      <c r="J11" s="485" t="s">
        <v>309</v>
      </c>
      <c r="K11" s="476" t="s">
        <v>60</v>
      </c>
      <c r="L11" s="485" t="s">
        <v>309</v>
      </c>
      <c r="M11" s="476" t="s">
        <v>305</v>
      </c>
    </row>
    <row r="12" spans="1:13" ht="17.25" customHeight="1" x14ac:dyDescent="0.25">
      <c r="A12" s="349" t="s">
        <v>81</v>
      </c>
      <c r="B12" s="477">
        <f t="shared" ref="B12:M12" si="0">SUM(B13:B20)</f>
        <v>18114</v>
      </c>
      <c r="C12" s="351">
        <f t="shared" si="0"/>
        <v>271710000</v>
      </c>
      <c r="D12" s="477">
        <f t="shared" si="0"/>
        <v>17577</v>
      </c>
      <c r="E12" s="646">
        <f t="shared" si="0"/>
        <v>178402500</v>
      </c>
      <c r="F12" s="477">
        <f t="shared" si="0"/>
        <v>2640</v>
      </c>
      <c r="G12" s="351">
        <f t="shared" si="0"/>
        <v>26400000</v>
      </c>
      <c r="H12" s="477">
        <f t="shared" si="0"/>
        <v>1549</v>
      </c>
      <c r="I12" s="351">
        <f t="shared" si="0"/>
        <v>7748095</v>
      </c>
      <c r="J12" s="477">
        <f t="shared" si="0"/>
        <v>6700</v>
      </c>
      <c r="K12" s="351">
        <f t="shared" si="0"/>
        <v>10452000</v>
      </c>
      <c r="L12" s="350">
        <f t="shared" si="0"/>
        <v>5143</v>
      </c>
      <c r="M12" s="351">
        <f t="shared" si="0"/>
        <v>4773815</v>
      </c>
    </row>
    <row r="13" spans="1:13" ht="17.25" customHeight="1" x14ac:dyDescent="0.25">
      <c r="A13" s="83" t="s">
        <v>142</v>
      </c>
      <c r="B13" s="424">
        <v>2719</v>
      </c>
      <c r="C13" s="412">
        <f t="shared" ref="C13:C20" si="1">B13*15000</f>
        <v>40785000</v>
      </c>
      <c r="D13" s="774">
        <v>2611</v>
      </c>
      <c r="E13" s="777">
        <v>27133200</v>
      </c>
      <c r="F13" s="383">
        <v>390</v>
      </c>
      <c r="G13" s="384">
        <f>F13*10000</f>
        <v>3900000</v>
      </c>
      <c r="H13" s="750"/>
      <c r="I13" s="1075"/>
      <c r="J13" s="729">
        <v>1100</v>
      </c>
      <c r="K13" s="686">
        <f>J13*1560</f>
        <v>1716000</v>
      </c>
      <c r="L13" s="345">
        <v>1445</v>
      </c>
      <c r="M13" s="344">
        <v>131495</v>
      </c>
    </row>
    <row r="14" spans="1:13" ht="17.25" customHeight="1" x14ac:dyDescent="0.25">
      <c r="A14" s="83" t="s">
        <v>143</v>
      </c>
      <c r="B14" s="424">
        <v>2154</v>
      </c>
      <c r="C14" s="412">
        <f t="shared" si="1"/>
        <v>32310000</v>
      </c>
      <c r="D14" s="774">
        <v>2130</v>
      </c>
      <c r="E14" s="777">
        <v>22249900</v>
      </c>
      <c r="F14" s="383">
        <v>725</v>
      </c>
      <c r="G14" s="384">
        <f t="shared" ref="G14:G20" si="2">F14*10000</f>
        <v>7250000</v>
      </c>
      <c r="H14" s="750">
        <v>247</v>
      </c>
      <c r="I14" s="1075">
        <v>1235000</v>
      </c>
      <c r="J14" s="729">
        <v>1200</v>
      </c>
      <c r="K14" s="686">
        <f t="shared" ref="K14:K20" si="3">J14*1560</f>
        <v>1872000</v>
      </c>
      <c r="L14" s="345">
        <v>852</v>
      </c>
      <c r="M14" s="344">
        <v>1339770</v>
      </c>
    </row>
    <row r="15" spans="1:13" ht="17.25" customHeight="1" x14ac:dyDescent="0.25">
      <c r="A15" s="83" t="s">
        <v>144</v>
      </c>
      <c r="B15" s="424">
        <f>1530-205</f>
        <v>1325</v>
      </c>
      <c r="C15" s="412">
        <f t="shared" si="1"/>
        <v>19875000</v>
      </c>
      <c r="D15" s="774">
        <v>1397</v>
      </c>
      <c r="E15" s="777">
        <v>14592700</v>
      </c>
      <c r="F15" s="383">
        <v>675</v>
      </c>
      <c r="G15" s="384">
        <f t="shared" si="2"/>
        <v>6750000</v>
      </c>
      <c r="H15" s="750">
        <v>81</v>
      </c>
      <c r="I15" s="1075">
        <v>403095</v>
      </c>
      <c r="J15" s="729">
        <v>800</v>
      </c>
      <c r="K15" s="686">
        <f t="shared" si="3"/>
        <v>1248000</v>
      </c>
      <c r="L15" s="345"/>
      <c r="M15" s="344"/>
    </row>
    <row r="16" spans="1:13" ht="17.25" customHeight="1" x14ac:dyDescent="0.25">
      <c r="A16" s="83" t="s">
        <v>145</v>
      </c>
      <c r="B16" s="424">
        <v>4442</v>
      </c>
      <c r="C16" s="412">
        <f t="shared" si="1"/>
        <v>66630000</v>
      </c>
      <c r="D16" s="774">
        <v>4227</v>
      </c>
      <c r="E16" s="777">
        <v>40468800</v>
      </c>
      <c r="F16" s="383">
        <v>150</v>
      </c>
      <c r="G16" s="384">
        <f t="shared" si="2"/>
        <v>1500000</v>
      </c>
      <c r="H16" s="750">
        <v>141</v>
      </c>
      <c r="I16" s="1075">
        <v>710000</v>
      </c>
      <c r="J16" s="729">
        <v>1200</v>
      </c>
      <c r="K16" s="686">
        <f t="shared" si="3"/>
        <v>1872000</v>
      </c>
      <c r="L16" s="345">
        <v>1091</v>
      </c>
      <c r="M16" s="344">
        <v>1134640</v>
      </c>
    </row>
    <row r="17" spans="1:13" ht="17.25" customHeight="1" x14ac:dyDescent="0.25">
      <c r="A17" s="83" t="s">
        <v>146</v>
      </c>
      <c r="B17" s="424">
        <v>671</v>
      </c>
      <c r="C17" s="412">
        <f t="shared" si="1"/>
        <v>10065000</v>
      </c>
      <c r="D17" s="774">
        <v>666</v>
      </c>
      <c r="E17" s="777">
        <v>7106100</v>
      </c>
      <c r="F17" s="383"/>
      <c r="G17" s="384">
        <f t="shared" si="2"/>
        <v>0</v>
      </c>
      <c r="H17" s="750"/>
      <c r="I17" s="1075"/>
      <c r="J17" s="729">
        <v>300</v>
      </c>
      <c r="K17" s="686">
        <f t="shared" si="3"/>
        <v>468000</v>
      </c>
      <c r="L17" s="345">
        <v>446</v>
      </c>
      <c r="M17" s="344">
        <v>110162</v>
      </c>
    </row>
    <row r="18" spans="1:13" ht="17.25" customHeight="1" x14ac:dyDescent="0.25">
      <c r="A18" s="83" t="s">
        <v>147</v>
      </c>
      <c r="B18" s="424">
        <v>3195</v>
      </c>
      <c r="C18" s="412">
        <f t="shared" si="1"/>
        <v>47925000</v>
      </c>
      <c r="D18" s="774">
        <v>3165</v>
      </c>
      <c r="E18" s="777">
        <v>32639900</v>
      </c>
      <c r="F18" s="383">
        <v>700</v>
      </c>
      <c r="G18" s="384">
        <f t="shared" si="2"/>
        <v>7000000</v>
      </c>
      <c r="H18" s="750">
        <v>685</v>
      </c>
      <c r="I18" s="1075">
        <v>3425000</v>
      </c>
      <c r="J18" s="729"/>
      <c r="K18" s="686">
        <f t="shared" si="3"/>
        <v>0</v>
      </c>
      <c r="L18" s="345"/>
      <c r="M18" s="344"/>
    </row>
    <row r="19" spans="1:13" ht="17.25" customHeight="1" x14ac:dyDescent="0.25">
      <c r="A19" s="83" t="s">
        <v>148</v>
      </c>
      <c r="B19" s="424">
        <v>1613</v>
      </c>
      <c r="C19" s="412">
        <f t="shared" si="1"/>
        <v>24195000</v>
      </c>
      <c r="D19" s="774">
        <v>1461</v>
      </c>
      <c r="E19" s="777">
        <v>15006400</v>
      </c>
      <c r="F19" s="383"/>
      <c r="G19" s="384">
        <f t="shared" si="2"/>
        <v>0</v>
      </c>
      <c r="H19" s="750"/>
      <c r="I19" s="1075"/>
      <c r="J19" s="729">
        <v>800</v>
      </c>
      <c r="K19" s="686">
        <f t="shared" si="3"/>
        <v>1248000</v>
      </c>
      <c r="L19" s="345"/>
      <c r="M19" s="344"/>
    </row>
    <row r="20" spans="1:13" ht="17.25" customHeight="1" x14ac:dyDescent="0.25">
      <c r="A20" s="83" t="s">
        <v>149</v>
      </c>
      <c r="B20" s="424">
        <v>1995</v>
      </c>
      <c r="C20" s="412">
        <f t="shared" si="1"/>
        <v>29925000</v>
      </c>
      <c r="D20" s="774">
        <v>1920</v>
      </c>
      <c r="E20" s="777">
        <v>19205500</v>
      </c>
      <c r="F20" s="383"/>
      <c r="G20" s="384">
        <f t="shared" si="2"/>
        <v>0</v>
      </c>
      <c r="H20" s="751">
        <v>395</v>
      </c>
      <c r="I20" s="1077">
        <v>1975000</v>
      </c>
      <c r="J20" s="729">
        <v>1300</v>
      </c>
      <c r="K20" s="686">
        <f t="shared" si="3"/>
        <v>2028000</v>
      </c>
      <c r="L20" s="345">
        <v>1309</v>
      </c>
      <c r="M20" s="344">
        <v>2057748</v>
      </c>
    </row>
    <row r="22" spans="1:13" s="48" customFormat="1" ht="36.75" customHeight="1" x14ac:dyDescent="0.25">
      <c r="A22" s="906" t="s">
        <v>3</v>
      </c>
      <c r="B22" s="913" t="s">
        <v>16</v>
      </c>
      <c r="C22" s="914"/>
      <c r="D22" s="914"/>
      <c r="E22" s="915"/>
      <c r="F22" s="913" t="s">
        <v>421</v>
      </c>
      <c r="G22" s="914"/>
      <c r="H22" s="914"/>
      <c r="I22" s="915"/>
      <c r="J22" s="913" t="s">
        <v>329</v>
      </c>
      <c r="K22" s="914"/>
      <c r="L22" s="914"/>
      <c r="M22" s="915"/>
    </row>
    <row r="23" spans="1:13" ht="25.5" customHeight="1" x14ac:dyDescent="0.25">
      <c r="A23" s="906"/>
      <c r="B23" s="899" t="s">
        <v>327</v>
      </c>
      <c r="C23" s="899"/>
      <c r="D23" s="900" t="s">
        <v>333</v>
      </c>
      <c r="E23" s="901"/>
      <c r="F23" s="899" t="s">
        <v>327</v>
      </c>
      <c r="G23" s="899"/>
      <c r="H23" s="900" t="s">
        <v>333</v>
      </c>
      <c r="I23" s="901"/>
      <c r="J23" s="899" t="s">
        <v>327</v>
      </c>
      <c r="K23" s="899"/>
      <c r="L23" s="900" t="s">
        <v>333</v>
      </c>
      <c r="M23" s="901"/>
    </row>
    <row r="24" spans="1:13" ht="45" customHeight="1" x14ac:dyDescent="0.25">
      <c r="A24" s="906"/>
      <c r="B24" s="485" t="s">
        <v>330</v>
      </c>
      <c r="C24" s="476" t="s">
        <v>60</v>
      </c>
      <c r="D24" s="485" t="s">
        <v>330</v>
      </c>
      <c r="E24" s="17" t="s">
        <v>305</v>
      </c>
      <c r="F24" s="494" t="s">
        <v>310</v>
      </c>
      <c r="G24" s="476" t="s">
        <v>60</v>
      </c>
      <c r="H24" s="494" t="s">
        <v>310</v>
      </c>
      <c r="I24" s="476" t="s">
        <v>60</v>
      </c>
      <c r="J24" s="494" t="s">
        <v>308</v>
      </c>
      <c r="K24" s="476" t="s">
        <v>60</v>
      </c>
      <c r="L24" s="494" t="s">
        <v>332</v>
      </c>
      <c r="M24" s="17" t="s">
        <v>305</v>
      </c>
    </row>
    <row r="25" spans="1:13" ht="14.45" customHeight="1" x14ac:dyDescent="0.25">
      <c r="A25" s="349" t="s">
        <v>81</v>
      </c>
      <c r="B25" s="477">
        <f>SUM(B26:B33)</f>
        <v>3057</v>
      </c>
      <c r="C25" s="351">
        <f>SUM(C26:C33)</f>
        <v>18342000</v>
      </c>
      <c r="D25" s="477">
        <f>SUM(D26:D33)</f>
        <v>4221</v>
      </c>
      <c r="E25" s="351">
        <f>SUM(E26:E33)</f>
        <v>25326000</v>
      </c>
      <c r="F25" s="477">
        <f t="shared" ref="F25:M25" si="4">SUM(F26:F33)</f>
        <v>8</v>
      </c>
      <c r="G25" s="351">
        <f t="shared" si="4"/>
        <v>18750000</v>
      </c>
      <c r="H25" s="350">
        <f t="shared" si="4"/>
        <v>0</v>
      </c>
      <c r="I25" s="351">
        <f t="shared" si="4"/>
        <v>0</v>
      </c>
      <c r="J25" s="477">
        <f t="shared" si="4"/>
        <v>0</v>
      </c>
      <c r="K25" s="351">
        <f t="shared" si="4"/>
        <v>0</v>
      </c>
      <c r="L25" s="477">
        <f t="shared" si="4"/>
        <v>4437</v>
      </c>
      <c r="M25" s="351">
        <f t="shared" si="4"/>
        <v>17196000</v>
      </c>
    </row>
    <row r="26" spans="1:13" ht="14.45" customHeight="1" x14ac:dyDescent="0.25">
      <c r="A26" s="83" t="s">
        <v>142</v>
      </c>
      <c r="B26" s="729">
        <v>438</v>
      </c>
      <c r="C26" s="686">
        <f t="shared" ref="C26:C33" si="5">B26*500*12</f>
        <v>2628000</v>
      </c>
      <c r="D26" s="101">
        <v>632</v>
      </c>
      <c r="E26" s="648">
        <f>D26*6000</f>
        <v>3792000</v>
      </c>
      <c r="F26" s="383">
        <f>1</f>
        <v>1</v>
      </c>
      <c r="G26" s="384">
        <f>400000</f>
        <v>400000</v>
      </c>
      <c r="H26" s="750"/>
      <c r="I26" s="744"/>
      <c r="J26" s="494"/>
      <c r="K26" s="17"/>
      <c r="L26" s="739">
        <v>536</v>
      </c>
      <c r="M26" s="740">
        <v>1106000</v>
      </c>
    </row>
    <row r="27" spans="1:13" ht="14.45" customHeight="1" x14ac:dyDescent="0.25">
      <c r="A27" s="83" t="s">
        <v>143</v>
      </c>
      <c r="B27" s="729">
        <v>354</v>
      </c>
      <c r="C27" s="686">
        <f t="shared" si="5"/>
        <v>2124000</v>
      </c>
      <c r="D27" s="101">
        <v>562</v>
      </c>
      <c r="E27" s="648">
        <f t="shared" ref="E27:E34" si="6">D27*6000</f>
        <v>3372000</v>
      </c>
      <c r="F27" s="383">
        <f>1</f>
        <v>1</v>
      </c>
      <c r="G27" s="384">
        <f>1600000</f>
        <v>1600000</v>
      </c>
      <c r="H27" s="750"/>
      <c r="I27" s="744"/>
      <c r="J27" s="494"/>
      <c r="K27" s="17"/>
      <c r="L27" s="739">
        <v>687</v>
      </c>
      <c r="M27" s="740">
        <v>1375000</v>
      </c>
    </row>
    <row r="28" spans="1:13" ht="14.45" customHeight="1" x14ac:dyDescent="0.25">
      <c r="A28" s="83" t="s">
        <v>144</v>
      </c>
      <c r="B28" s="729">
        <v>346</v>
      </c>
      <c r="C28" s="686">
        <f t="shared" si="5"/>
        <v>2076000</v>
      </c>
      <c r="D28" s="101">
        <v>549</v>
      </c>
      <c r="E28" s="648">
        <f t="shared" si="6"/>
        <v>3294000</v>
      </c>
      <c r="F28" s="383"/>
      <c r="G28" s="384"/>
      <c r="H28" s="750"/>
      <c r="I28" s="744"/>
      <c r="J28" s="494"/>
      <c r="K28" s="17"/>
      <c r="L28" s="739">
        <v>582</v>
      </c>
      <c r="M28" s="740">
        <v>1388000</v>
      </c>
    </row>
    <row r="29" spans="1:13" ht="14.45" customHeight="1" x14ac:dyDescent="0.25">
      <c r="A29" s="83" t="s">
        <v>145</v>
      </c>
      <c r="B29" s="729">
        <v>488</v>
      </c>
      <c r="C29" s="686">
        <f t="shared" si="5"/>
        <v>2928000</v>
      </c>
      <c r="D29" s="647">
        <v>694</v>
      </c>
      <c r="E29" s="648">
        <f t="shared" si="6"/>
        <v>4164000</v>
      </c>
      <c r="F29" s="383">
        <f>1</f>
        <v>1</v>
      </c>
      <c r="G29" s="384">
        <f>800000</f>
        <v>800000</v>
      </c>
      <c r="H29" s="750"/>
      <c r="I29" s="744"/>
      <c r="J29" s="494"/>
      <c r="K29" s="17"/>
      <c r="L29" s="739">
        <v>857</v>
      </c>
      <c r="M29" s="740">
        <v>1649500</v>
      </c>
    </row>
    <row r="30" spans="1:13" ht="14.45" customHeight="1" x14ac:dyDescent="0.25">
      <c r="A30" s="83" t="s">
        <v>146</v>
      </c>
      <c r="B30" s="729">
        <v>322</v>
      </c>
      <c r="C30" s="686">
        <f t="shared" si="5"/>
        <v>1932000</v>
      </c>
      <c r="D30" s="101">
        <v>356</v>
      </c>
      <c r="E30" s="648">
        <f t="shared" si="6"/>
        <v>2136000</v>
      </c>
      <c r="F30" s="383">
        <v>1</v>
      </c>
      <c r="G30" s="384">
        <f>1800000</f>
        <v>1800000</v>
      </c>
      <c r="H30" s="750"/>
      <c r="I30" s="744"/>
      <c r="J30" s="494"/>
      <c r="K30" s="17"/>
      <c r="L30" s="739">
        <v>376</v>
      </c>
      <c r="M30" s="740">
        <v>8874500</v>
      </c>
    </row>
    <row r="31" spans="1:13" ht="14.45" customHeight="1" x14ac:dyDescent="0.25">
      <c r="A31" s="83" t="s">
        <v>147</v>
      </c>
      <c r="B31" s="729">
        <v>430</v>
      </c>
      <c r="C31" s="686">
        <f t="shared" si="5"/>
        <v>2580000</v>
      </c>
      <c r="D31" s="647">
        <v>532</v>
      </c>
      <c r="E31" s="648">
        <f t="shared" si="6"/>
        <v>3192000</v>
      </c>
      <c r="F31" s="383">
        <f>1</f>
        <v>1</v>
      </c>
      <c r="G31" s="384">
        <f>6000000</f>
        <v>6000000</v>
      </c>
      <c r="H31" s="750"/>
      <c r="I31" s="744"/>
      <c r="J31" s="494"/>
      <c r="K31" s="17"/>
      <c r="L31" s="739">
        <v>375</v>
      </c>
      <c r="M31" s="740">
        <v>773500</v>
      </c>
    </row>
    <row r="32" spans="1:13" ht="14.45" customHeight="1" x14ac:dyDescent="0.25">
      <c r="A32" s="83" t="s">
        <v>148</v>
      </c>
      <c r="B32" s="729">
        <v>334</v>
      </c>
      <c r="C32" s="686">
        <f t="shared" si="5"/>
        <v>2004000</v>
      </c>
      <c r="D32" s="101">
        <v>475</v>
      </c>
      <c r="E32" s="648">
        <f t="shared" si="6"/>
        <v>2850000</v>
      </c>
      <c r="F32" s="383">
        <f>1</f>
        <v>1</v>
      </c>
      <c r="G32" s="384">
        <f>2000000</f>
        <v>2000000</v>
      </c>
      <c r="H32" s="750"/>
      <c r="I32" s="744"/>
      <c r="J32" s="494"/>
      <c r="K32" s="17"/>
      <c r="L32" s="739">
        <v>610</v>
      </c>
      <c r="M32" s="740">
        <v>1272000</v>
      </c>
    </row>
    <row r="33" spans="1:13" ht="14.45" customHeight="1" x14ac:dyDescent="0.25">
      <c r="A33" s="83" t="s">
        <v>149</v>
      </c>
      <c r="B33" s="729">
        <v>345</v>
      </c>
      <c r="C33" s="686">
        <f t="shared" si="5"/>
        <v>2070000</v>
      </c>
      <c r="D33" s="101">
        <v>421</v>
      </c>
      <c r="E33" s="648">
        <f t="shared" si="6"/>
        <v>2526000</v>
      </c>
      <c r="F33" s="383">
        <v>2</v>
      </c>
      <c r="G33" s="384">
        <v>6150000</v>
      </c>
      <c r="H33" s="751"/>
      <c r="I33" s="746"/>
      <c r="J33" s="494"/>
      <c r="K33" s="17"/>
      <c r="L33" s="739">
        <v>414</v>
      </c>
      <c r="M33" s="740">
        <v>757500</v>
      </c>
    </row>
    <row r="34" spans="1:13" ht="14.45" customHeight="1" x14ac:dyDescent="0.25">
      <c r="A34" s="116"/>
      <c r="B34" s="117"/>
      <c r="C34" s="178"/>
      <c r="D34" s="569"/>
      <c r="E34" s="648"/>
      <c r="F34" s="512"/>
      <c r="G34" s="513"/>
      <c r="H34" s="514"/>
      <c r="I34" s="475"/>
      <c r="J34" s="569"/>
      <c r="K34" s="58"/>
      <c r="L34" s="57"/>
      <c r="M34" s="58"/>
    </row>
    <row r="35" spans="1:13" s="48" customFormat="1" ht="38.25" customHeight="1" x14ac:dyDescent="0.25">
      <c r="A35" s="906" t="s">
        <v>3</v>
      </c>
      <c r="B35" s="913" t="s">
        <v>331</v>
      </c>
      <c r="C35" s="914"/>
      <c r="D35" s="914"/>
      <c r="E35" s="915"/>
      <c r="F35" s="913" t="s">
        <v>391</v>
      </c>
      <c r="G35" s="914"/>
      <c r="H35" s="914"/>
      <c r="I35" s="915"/>
      <c r="J35" s="995" t="s">
        <v>81</v>
      </c>
      <c r="K35" s="995"/>
      <c r="L35" s="995"/>
      <c r="M35" s="995"/>
    </row>
    <row r="36" spans="1:13" ht="18" customHeight="1" x14ac:dyDescent="0.25">
      <c r="A36" s="906"/>
      <c r="B36" s="899" t="s">
        <v>327</v>
      </c>
      <c r="C36" s="899"/>
      <c r="D36" s="900" t="s">
        <v>333</v>
      </c>
      <c r="E36" s="901"/>
      <c r="F36" s="899" t="s">
        <v>327</v>
      </c>
      <c r="G36" s="899"/>
      <c r="H36" s="900" t="s">
        <v>333</v>
      </c>
      <c r="I36" s="901"/>
      <c r="J36" s="899" t="s">
        <v>60</v>
      </c>
      <c r="K36" s="899"/>
      <c r="L36" s="899" t="s">
        <v>305</v>
      </c>
      <c r="M36" s="899"/>
    </row>
    <row r="37" spans="1:13" ht="45" customHeight="1" x14ac:dyDescent="0.25">
      <c r="A37" s="906"/>
      <c r="B37" s="494" t="s">
        <v>308</v>
      </c>
      <c r="C37" s="495" t="s">
        <v>60</v>
      </c>
      <c r="D37" s="494" t="s">
        <v>253</v>
      </c>
      <c r="E37" s="17" t="s">
        <v>305</v>
      </c>
      <c r="F37" s="567" t="s">
        <v>308</v>
      </c>
      <c r="G37" s="566" t="s">
        <v>60</v>
      </c>
      <c r="H37" s="567" t="s">
        <v>253</v>
      </c>
      <c r="I37" s="17" t="s">
        <v>305</v>
      </c>
      <c r="J37" s="899"/>
      <c r="K37" s="899"/>
      <c r="L37" s="899"/>
      <c r="M37" s="899"/>
    </row>
    <row r="38" spans="1:13" x14ac:dyDescent="0.25">
      <c r="A38" s="349" t="s">
        <v>81</v>
      </c>
      <c r="B38" s="477">
        <f t="shared" ref="B38:G38" si="7">SUM(B39:B46)</f>
        <v>0</v>
      </c>
      <c r="C38" s="351">
        <f t="shared" si="7"/>
        <v>0</v>
      </c>
      <c r="D38" s="477">
        <f t="shared" si="7"/>
        <v>0</v>
      </c>
      <c r="E38" s="351">
        <f t="shared" si="7"/>
        <v>0</v>
      </c>
      <c r="F38" s="477">
        <f t="shared" si="7"/>
        <v>0</v>
      </c>
      <c r="G38" s="351">
        <f t="shared" si="7"/>
        <v>0</v>
      </c>
      <c r="H38" s="477">
        <f>SUM(H39:H48)</f>
        <v>0</v>
      </c>
      <c r="I38" s="351">
        <f>SUM(I39:I48)</f>
        <v>0</v>
      </c>
      <c r="J38" s="987">
        <f>SUM(J39:J46)</f>
        <v>345654000</v>
      </c>
      <c r="K38" s="987"/>
      <c r="L38" s="987">
        <f>SUM(L39:M48)</f>
        <v>233446410</v>
      </c>
      <c r="M38" s="987"/>
    </row>
    <row r="39" spans="1:13" x14ac:dyDescent="0.25">
      <c r="A39" s="83" t="s">
        <v>142</v>
      </c>
      <c r="B39" s="30"/>
      <c r="C39" s="384"/>
      <c r="D39" s="30"/>
      <c r="E39" s="384"/>
      <c r="F39" s="30"/>
      <c r="G39" s="384"/>
      <c r="H39" s="30"/>
      <c r="I39" s="384"/>
      <c r="J39" s="961">
        <f t="shared" ref="J39:J46" si="8">C13+G13+K13+C26+G26+K26+C39</f>
        <v>49429000</v>
      </c>
      <c r="K39" s="961"/>
      <c r="L39" s="961">
        <f>E13+I13+M13+E26+I26+M26+E39+I39</f>
        <v>32162695</v>
      </c>
      <c r="M39" s="961"/>
    </row>
    <row r="40" spans="1:13" x14ac:dyDescent="0.25">
      <c r="A40" s="83" t="s">
        <v>143</v>
      </c>
      <c r="B40" s="30"/>
      <c r="C40" s="384"/>
      <c r="D40" s="30"/>
      <c r="E40" s="384"/>
      <c r="F40" s="30"/>
      <c r="G40" s="384"/>
      <c r="H40" s="30"/>
      <c r="I40" s="384"/>
      <c r="J40" s="961">
        <f t="shared" si="8"/>
        <v>45156000</v>
      </c>
      <c r="K40" s="961"/>
      <c r="L40" s="961">
        <f>E14+I14+M14+E27+I27+M27+E40</f>
        <v>29571670</v>
      </c>
      <c r="M40" s="961"/>
    </row>
    <row r="41" spans="1:13" x14ac:dyDescent="0.25">
      <c r="A41" s="83" t="s">
        <v>144</v>
      </c>
      <c r="B41" s="30"/>
      <c r="C41" s="384"/>
      <c r="D41" s="30"/>
      <c r="E41" s="384"/>
      <c r="F41" s="30"/>
      <c r="G41" s="384"/>
      <c r="H41" s="30"/>
      <c r="I41" s="384"/>
      <c r="J41" s="961">
        <f t="shared" si="8"/>
        <v>29949000</v>
      </c>
      <c r="K41" s="961"/>
      <c r="L41" s="961">
        <f>E15+I15+M15+E28+I28+M28+E41</f>
        <v>19677795</v>
      </c>
      <c r="M41" s="961"/>
    </row>
    <row r="42" spans="1:13" x14ac:dyDescent="0.25">
      <c r="A42" s="83" t="s">
        <v>145</v>
      </c>
      <c r="B42" s="30"/>
      <c r="C42" s="384"/>
      <c r="D42" s="30"/>
      <c r="E42" s="384"/>
      <c r="F42" s="30"/>
      <c r="G42" s="384"/>
      <c r="H42" s="30"/>
      <c r="I42" s="384"/>
      <c r="J42" s="961">
        <f t="shared" si="8"/>
        <v>73730000</v>
      </c>
      <c r="K42" s="961"/>
      <c r="L42" s="961">
        <f>E16+I16+M16+E29+I29+M29+E42</f>
        <v>48126940</v>
      </c>
      <c r="M42" s="961"/>
    </row>
    <row r="43" spans="1:13" x14ac:dyDescent="0.25">
      <c r="A43" s="83" t="s">
        <v>146</v>
      </c>
      <c r="B43" s="30"/>
      <c r="C43" s="384"/>
      <c r="D43" s="30"/>
      <c r="E43" s="384"/>
      <c r="F43" s="30"/>
      <c r="G43" s="384"/>
      <c r="H43" s="30"/>
      <c r="I43" s="384"/>
      <c r="J43" s="961">
        <f t="shared" si="8"/>
        <v>14265000</v>
      </c>
      <c r="K43" s="961"/>
      <c r="L43" s="961">
        <f>E17+I17+M17+E30+I30+M30+E43</f>
        <v>18226762</v>
      </c>
      <c r="M43" s="961"/>
    </row>
    <row r="44" spans="1:13" x14ac:dyDescent="0.25">
      <c r="A44" s="83" t="s">
        <v>147</v>
      </c>
      <c r="B44" s="30"/>
      <c r="C44" s="384"/>
      <c r="D44" s="30"/>
      <c r="E44" s="384"/>
      <c r="F44" s="30"/>
      <c r="G44" s="384"/>
      <c r="H44" s="30"/>
      <c r="I44" s="384"/>
      <c r="J44" s="961">
        <f t="shared" si="8"/>
        <v>63505000</v>
      </c>
      <c r="K44" s="961"/>
      <c r="L44" s="961">
        <f>E18+I18+M18+E31+I31+M31+E44+I44</f>
        <v>40030400</v>
      </c>
      <c r="M44" s="961"/>
    </row>
    <row r="45" spans="1:13" x14ac:dyDescent="0.25">
      <c r="A45" s="83" t="s">
        <v>148</v>
      </c>
      <c r="B45" s="30"/>
      <c r="C45" s="384"/>
      <c r="D45" s="30"/>
      <c r="E45" s="384"/>
      <c r="F45" s="30"/>
      <c r="G45" s="384"/>
      <c r="H45" s="30"/>
      <c r="I45" s="384"/>
      <c r="J45" s="961">
        <f t="shared" si="8"/>
        <v>29447000</v>
      </c>
      <c r="K45" s="961"/>
      <c r="L45" s="961">
        <f>E19+I19+M19+E32+I32+M32+E45</f>
        <v>19128400</v>
      </c>
      <c r="M45" s="961"/>
    </row>
    <row r="46" spans="1:13" x14ac:dyDescent="0.25">
      <c r="A46" s="83" t="s">
        <v>149</v>
      </c>
      <c r="B46" s="30"/>
      <c r="C46" s="384"/>
      <c r="D46" s="30"/>
      <c r="E46" s="384"/>
      <c r="F46" s="30"/>
      <c r="G46" s="384"/>
      <c r="H46" s="30"/>
      <c r="I46" s="384"/>
      <c r="J46" s="961">
        <f t="shared" si="8"/>
        <v>40173000</v>
      </c>
      <c r="K46" s="961"/>
      <c r="L46" s="961">
        <f>E20+I20+M20+E33+I33+M33+E46</f>
        <v>26521748</v>
      </c>
      <c r="M46" s="961"/>
    </row>
    <row r="47" spans="1:13" x14ac:dyDescent="0.25">
      <c r="A47" s="83" t="s">
        <v>396</v>
      </c>
      <c r="B47" s="30"/>
      <c r="C47" s="384"/>
      <c r="D47" s="30"/>
      <c r="E47" s="384"/>
      <c r="F47" s="30"/>
      <c r="G47" s="384"/>
      <c r="H47" s="30"/>
      <c r="I47" s="384"/>
      <c r="J47" s="564"/>
      <c r="K47" s="565"/>
      <c r="L47" s="564"/>
      <c r="M47" s="565"/>
    </row>
    <row r="48" spans="1:13" x14ac:dyDescent="0.25">
      <c r="A48" s="275" t="s">
        <v>384</v>
      </c>
      <c r="B48" s="275"/>
      <c r="C48" s="344"/>
      <c r="D48" s="344"/>
      <c r="E48" s="344"/>
      <c r="F48" s="275"/>
      <c r="G48" s="344"/>
      <c r="H48" s="344"/>
      <c r="I48" s="344"/>
      <c r="J48" s="1033"/>
      <c r="K48" s="1034"/>
      <c r="L48" s="1035"/>
      <c r="M48" s="1036"/>
    </row>
  </sheetData>
  <mergeCells count="55">
    <mergeCell ref="J42:K42"/>
    <mergeCell ref="J43:K43"/>
    <mergeCell ref="J44:K44"/>
    <mergeCell ref="L40:M40"/>
    <mergeCell ref="L41:M41"/>
    <mergeCell ref="L42:M42"/>
    <mergeCell ref="L43:M43"/>
    <mergeCell ref="L44:M44"/>
    <mergeCell ref="L23:M23"/>
    <mergeCell ref="A35:A37"/>
    <mergeCell ref="B35:E35"/>
    <mergeCell ref="J35:M35"/>
    <mergeCell ref="B36:C36"/>
    <mergeCell ref="D36:E36"/>
    <mergeCell ref="A22:A24"/>
    <mergeCell ref="B22:E22"/>
    <mergeCell ref="F22:I22"/>
    <mergeCell ref="J22:M22"/>
    <mergeCell ref="B23:C23"/>
    <mergeCell ref="D23:E23"/>
    <mergeCell ref="F23:G23"/>
    <mergeCell ref="H23:I23"/>
    <mergeCell ref="J23:K23"/>
    <mergeCell ref="J36:K37"/>
    <mergeCell ref="L10:M10"/>
    <mergeCell ref="A1:M1"/>
    <mergeCell ref="A2:M2"/>
    <mergeCell ref="A3:M3"/>
    <mergeCell ref="A5:M5"/>
    <mergeCell ref="A6:M6"/>
    <mergeCell ref="A9:A11"/>
    <mergeCell ref="B9:E9"/>
    <mergeCell ref="F9:I9"/>
    <mergeCell ref="J9:M9"/>
    <mergeCell ref="B10:C10"/>
    <mergeCell ref="D10:E10"/>
    <mergeCell ref="F10:G10"/>
    <mergeCell ref="H10:I10"/>
    <mergeCell ref="J10:K10"/>
    <mergeCell ref="F35:I35"/>
    <mergeCell ref="F36:G36"/>
    <mergeCell ref="H36:I36"/>
    <mergeCell ref="J48:K48"/>
    <mergeCell ref="L48:M48"/>
    <mergeCell ref="L36:M37"/>
    <mergeCell ref="J38:K38"/>
    <mergeCell ref="L38:M38"/>
    <mergeCell ref="J39:K39"/>
    <mergeCell ref="L39:M39"/>
    <mergeCell ref="J45:K45"/>
    <mergeCell ref="L45:M45"/>
    <mergeCell ref="J46:K46"/>
    <mergeCell ref="L46:M46"/>
    <mergeCell ref="J40:K40"/>
    <mergeCell ref="J41:K41"/>
  </mergeCells>
  <pageMargins left="1" right="0.15748031496063" top="0.74803149606299202" bottom="0.43307086614173201" header="0.78740157480314998" footer="0.31496062992126"/>
  <pageSetup paperSize="9" scale="75"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457"/>
  <sheetViews>
    <sheetView topLeftCell="A321" zoomScale="70" zoomScaleNormal="70" workbookViewId="0">
      <selection activeCell="N27" sqref="N27"/>
    </sheetView>
  </sheetViews>
  <sheetFormatPr defaultRowHeight="15" x14ac:dyDescent="0.25"/>
  <cols>
    <col min="1" max="1" width="30.85546875" customWidth="1"/>
    <col min="2" max="2" width="42" customWidth="1"/>
    <col min="3" max="3" width="15.140625" customWidth="1"/>
    <col min="4" max="4" width="20" customWidth="1"/>
    <col min="5" max="5" width="10.85546875" customWidth="1"/>
    <col min="6" max="6" width="18.5703125" style="97" customWidth="1"/>
    <col min="7" max="7" width="11.140625" customWidth="1"/>
    <col min="8" max="8" width="19.140625" style="97" customWidth="1"/>
    <col min="9" max="9" width="11.5703125" customWidth="1"/>
    <col min="10" max="10" width="17" style="97" customWidth="1"/>
  </cols>
  <sheetData>
    <row r="1" spans="1:10" x14ac:dyDescent="0.25">
      <c r="A1" s="858" t="s">
        <v>39</v>
      </c>
      <c r="B1" s="858"/>
      <c r="C1" s="858"/>
      <c r="D1" s="858"/>
      <c r="E1" s="858"/>
      <c r="F1" s="858"/>
      <c r="G1" s="858"/>
      <c r="H1" s="858"/>
      <c r="I1" s="858"/>
      <c r="J1" s="858"/>
    </row>
    <row r="2" spans="1:10" x14ac:dyDescent="0.25">
      <c r="A2" s="858" t="s">
        <v>40</v>
      </c>
      <c r="B2" s="858"/>
      <c r="C2" s="858"/>
      <c r="D2" s="858"/>
      <c r="E2" s="858"/>
      <c r="F2" s="858"/>
      <c r="G2" s="858"/>
      <c r="H2" s="858"/>
      <c r="I2" s="858"/>
      <c r="J2" s="858"/>
    </row>
    <row r="3" spans="1:10" x14ac:dyDescent="0.25">
      <c r="A3" s="415"/>
      <c r="B3" s="415"/>
      <c r="C3" s="415"/>
      <c r="D3" s="415"/>
      <c r="E3" s="415"/>
      <c r="F3" s="415"/>
      <c r="G3" s="415"/>
      <c r="H3" s="415"/>
      <c r="I3" s="415"/>
      <c r="J3" s="415"/>
    </row>
    <row r="4" spans="1:10" s="414" customFormat="1" ht="21" x14ac:dyDescent="0.35">
      <c r="A4" s="866" t="s">
        <v>321</v>
      </c>
      <c r="B4" s="866"/>
      <c r="C4" s="866"/>
      <c r="D4" s="866"/>
      <c r="E4" s="866"/>
      <c r="F4" s="866"/>
      <c r="G4" s="866"/>
      <c r="H4" s="866"/>
      <c r="I4" s="866"/>
      <c r="J4" s="866"/>
    </row>
    <row r="5" spans="1:10" s="48" customFormat="1" x14ac:dyDescent="0.25"/>
    <row r="6" spans="1:10" s="48" customFormat="1" x14ac:dyDescent="0.25">
      <c r="F6" s="91"/>
      <c r="H6" s="91"/>
      <c r="J6" s="91"/>
    </row>
    <row r="7" spans="1:10" s="3" customFormat="1" ht="27.75" customHeight="1" x14ac:dyDescent="0.25">
      <c r="A7" s="859" t="s">
        <v>0</v>
      </c>
      <c r="B7" s="860" t="s">
        <v>51</v>
      </c>
      <c r="C7" s="859" t="s">
        <v>4</v>
      </c>
      <c r="D7" s="862" t="s">
        <v>3</v>
      </c>
      <c r="E7" s="864" t="s">
        <v>324</v>
      </c>
      <c r="F7" s="865"/>
      <c r="G7" s="864" t="s">
        <v>315</v>
      </c>
      <c r="H7" s="865"/>
      <c r="I7" s="919" t="s">
        <v>325</v>
      </c>
      <c r="J7" s="920"/>
    </row>
    <row r="8" spans="1:10" s="3" customFormat="1" ht="21" customHeight="1" x14ac:dyDescent="0.25">
      <c r="A8" s="860"/>
      <c r="B8" s="925"/>
      <c r="C8" s="860"/>
      <c r="D8" s="922"/>
      <c r="E8" s="400" t="s">
        <v>48</v>
      </c>
      <c r="F8" s="403" t="s">
        <v>1</v>
      </c>
      <c r="G8" s="400" t="s">
        <v>48</v>
      </c>
      <c r="H8" s="441" t="s">
        <v>60</v>
      </c>
      <c r="I8" s="400" t="s">
        <v>48</v>
      </c>
      <c r="J8" s="441" t="s">
        <v>60</v>
      </c>
    </row>
    <row r="9" spans="1:10" s="12" customFormat="1" ht="20.25" customHeight="1" x14ac:dyDescent="0.25">
      <c r="A9" s="10" t="s">
        <v>14</v>
      </c>
      <c r="B9" s="10"/>
      <c r="C9" s="11"/>
      <c r="D9" s="11"/>
      <c r="E9" s="14"/>
      <c r="F9" s="92">
        <f>F11+F51+F79+F107+F141+F179+F207+F266+F294</f>
        <v>538608749.04999995</v>
      </c>
      <c r="G9" s="11"/>
      <c r="H9" s="92">
        <f>H11+H51+H79+H107+H141+H179+H207+H266+H294+H323</f>
        <v>850874465</v>
      </c>
      <c r="I9" s="11"/>
      <c r="J9" s="92">
        <f>J11+J51+J79+J107+J141+J179+J207+J266+J294</f>
        <v>199366082.65000001</v>
      </c>
    </row>
    <row r="10" spans="1:10" s="8" customFormat="1" ht="5.25" customHeight="1" x14ac:dyDescent="0.25">
      <c r="A10" s="7"/>
      <c r="B10" s="7"/>
      <c r="C10" s="7"/>
      <c r="D10" s="7"/>
      <c r="E10" s="7"/>
      <c r="F10" s="93"/>
      <c r="G10" s="7"/>
      <c r="H10" s="93"/>
      <c r="I10" s="7"/>
      <c r="J10" s="93"/>
    </row>
    <row r="11" spans="1:10" s="3" customFormat="1" ht="21.75" customHeight="1" x14ac:dyDescent="0.25">
      <c r="A11" s="926" t="s">
        <v>5</v>
      </c>
      <c r="B11" s="831" t="s">
        <v>50</v>
      </c>
      <c r="C11" s="967" t="s">
        <v>21</v>
      </c>
      <c r="D11" s="155" t="s">
        <v>81</v>
      </c>
      <c r="E11" s="155">
        <f t="shared" ref="E11:J11" si="0">E12+E16+E23+E29</f>
        <v>46351</v>
      </c>
      <c r="F11" s="156">
        <f t="shared" si="0"/>
        <v>474118900</v>
      </c>
      <c r="G11" s="155">
        <f t="shared" si="0"/>
        <v>47582</v>
      </c>
      <c r="H11" s="156">
        <f t="shared" si="0"/>
        <v>713730000</v>
      </c>
      <c r="I11" s="155">
        <f t="shared" si="0"/>
        <v>45657</v>
      </c>
      <c r="J11" s="156">
        <f t="shared" si="0"/>
        <v>189251800</v>
      </c>
    </row>
    <row r="12" spans="1:10" s="3" customFormat="1" ht="18" customHeight="1" x14ac:dyDescent="0.25">
      <c r="A12" s="927"/>
      <c r="B12" s="832"/>
      <c r="C12" s="968"/>
      <c r="D12" s="70" t="s">
        <v>79</v>
      </c>
      <c r="E12" s="70">
        <f t="shared" ref="E12:J12" si="1">SUM(E13:E15)</f>
        <v>6644</v>
      </c>
      <c r="F12" s="84">
        <f t="shared" si="1"/>
        <v>69867100</v>
      </c>
      <c r="G12" s="70">
        <f t="shared" si="1"/>
        <v>6778</v>
      </c>
      <c r="H12" s="84">
        <f t="shared" si="1"/>
        <v>101670000</v>
      </c>
      <c r="I12" s="70">
        <f t="shared" si="1"/>
        <v>6459</v>
      </c>
      <c r="J12" s="84">
        <f t="shared" si="1"/>
        <v>26808400</v>
      </c>
    </row>
    <row r="13" spans="1:10" s="2" customFormat="1" ht="14.25" customHeight="1" x14ac:dyDescent="0.25">
      <c r="A13" s="18"/>
      <c r="B13" s="832"/>
      <c r="C13" s="4"/>
      <c r="D13" s="83" t="s">
        <v>150</v>
      </c>
      <c r="E13" s="426">
        <v>2961</v>
      </c>
      <c r="F13" s="440">
        <v>30966900</v>
      </c>
      <c r="G13" s="426">
        <v>3000</v>
      </c>
      <c r="H13" s="100">
        <f>G13*15000</f>
        <v>45000000</v>
      </c>
      <c r="I13" s="426">
        <v>2860</v>
      </c>
      <c r="J13" s="100">
        <f>'[1]updated may 7_FMS'!I103</f>
        <v>11618200</v>
      </c>
    </row>
    <row r="14" spans="1:10" s="2" customFormat="1" ht="14.25" customHeight="1" x14ac:dyDescent="0.25">
      <c r="A14" s="972"/>
      <c r="B14" s="832"/>
      <c r="C14" s="4"/>
      <c r="D14" s="83" t="s">
        <v>151</v>
      </c>
      <c r="E14" s="426">
        <v>1897</v>
      </c>
      <c r="F14" s="440">
        <v>20173100</v>
      </c>
      <c r="G14" s="426">
        <v>1931</v>
      </c>
      <c r="H14" s="100">
        <f>G14*15000</f>
        <v>28965000</v>
      </c>
      <c r="I14" s="426">
        <v>1845</v>
      </c>
      <c r="J14" s="100">
        <f>'[1]updated may 7_FMS'!I104</f>
        <v>7702000</v>
      </c>
    </row>
    <row r="15" spans="1:10" s="2" customFormat="1" ht="14.25" customHeight="1" x14ac:dyDescent="0.25">
      <c r="A15" s="918"/>
      <c r="B15" s="832"/>
      <c r="C15" s="4"/>
      <c r="D15" s="83" t="s">
        <v>152</v>
      </c>
      <c r="E15" s="426">
        <v>1786</v>
      </c>
      <c r="F15" s="440">
        <v>18727100</v>
      </c>
      <c r="G15" s="426">
        <v>1847</v>
      </c>
      <c r="H15" s="100">
        <f>G15*15000</f>
        <v>27705000</v>
      </c>
      <c r="I15" s="426">
        <v>1754</v>
      </c>
      <c r="J15" s="100">
        <f>'[1]updated may 7_FMS'!I105</f>
        <v>7488200</v>
      </c>
    </row>
    <row r="16" spans="1:10" s="2" customFormat="1" ht="17.25" customHeight="1" x14ac:dyDescent="0.25">
      <c r="A16" s="77"/>
      <c r="B16" s="832"/>
      <c r="C16" s="63"/>
      <c r="D16" s="70" t="s">
        <v>80</v>
      </c>
      <c r="E16" s="70">
        <f t="shared" ref="E16:J16" si="2">SUM(E17:E22)</f>
        <v>11669</v>
      </c>
      <c r="F16" s="84">
        <f t="shared" si="2"/>
        <v>122386000</v>
      </c>
      <c r="G16" s="70">
        <f t="shared" si="2"/>
        <v>11990</v>
      </c>
      <c r="H16" s="84">
        <f t="shared" si="2"/>
        <v>179850000</v>
      </c>
      <c r="I16" s="70">
        <f t="shared" si="2"/>
        <v>11530</v>
      </c>
      <c r="J16" s="84">
        <f t="shared" si="2"/>
        <v>48580800</v>
      </c>
    </row>
    <row r="17" spans="1:10" s="2" customFormat="1" ht="14.25" customHeight="1" x14ac:dyDescent="0.25">
      <c r="A17" s="77"/>
      <c r="B17" s="75"/>
      <c r="C17" s="4"/>
      <c r="D17" s="83" t="s">
        <v>153</v>
      </c>
      <c r="E17" s="426">
        <v>1914</v>
      </c>
      <c r="F17" s="440">
        <v>20480900</v>
      </c>
      <c r="G17" s="426">
        <v>1920</v>
      </c>
      <c r="H17" s="100">
        <f t="shared" ref="H17:H22" si="3">G17*15000</f>
        <v>28800000</v>
      </c>
      <c r="I17" s="426">
        <v>1887</v>
      </c>
      <c r="J17" s="100">
        <f>'[1]updated may 7_FMS'!I107</f>
        <v>7539300</v>
      </c>
    </row>
    <row r="18" spans="1:10" s="2" customFormat="1" ht="14.25" customHeight="1" x14ac:dyDescent="0.25">
      <c r="A18" s="77"/>
      <c r="B18" s="75"/>
      <c r="C18" s="4"/>
      <c r="D18" s="83" t="s">
        <v>154</v>
      </c>
      <c r="E18" s="426">
        <v>1737</v>
      </c>
      <c r="F18" s="440">
        <v>18466800</v>
      </c>
      <c r="G18" s="426">
        <v>1808</v>
      </c>
      <c r="H18" s="100">
        <f t="shared" si="3"/>
        <v>27120000</v>
      </c>
      <c r="I18" s="426">
        <v>1716</v>
      </c>
      <c r="J18" s="100">
        <f>'[1]updated may 7_FMS'!I108</f>
        <v>7340300</v>
      </c>
    </row>
    <row r="19" spans="1:10" s="2" customFormat="1" ht="14.25" customHeight="1" x14ac:dyDescent="0.25">
      <c r="A19" s="77"/>
      <c r="B19" s="75"/>
      <c r="C19" s="4"/>
      <c r="D19" s="83" t="s">
        <v>155</v>
      </c>
      <c r="E19" s="426">
        <v>3250</v>
      </c>
      <c r="F19" s="440">
        <v>33660400</v>
      </c>
      <c r="G19" s="426">
        <v>3368</v>
      </c>
      <c r="H19" s="100">
        <f t="shared" si="3"/>
        <v>50520000</v>
      </c>
      <c r="I19" s="426">
        <v>3209</v>
      </c>
      <c r="J19" s="100">
        <f>'[1]updated may 7_FMS'!I109</f>
        <v>13670400</v>
      </c>
    </row>
    <row r="20" spans="1:10" s="2" customFormat="1" ht="14.25" customHeight="1" x14ac:dyDescent="0.25">
      <c r="A20" s="77"/>
      <c r="B20" s="75"/>
      <c r="C20" s="4"/>
      <c r="D20" s="83" t="s">
        <v>156</v>
      </c>
      <c r="E20" s="426">
        <v>3028</v>
      </c>
      <c r="F20" s="440">
        <v>31926400</v>
      </c>
      <c r="G20" s="426">
        <v>3106</v>
      </c>
      <c r="H20" s="100">
        <f t="shared" si="3"/>
        <v>46590000</v>
      </c>
      <c r="I20" s="426">
        <v>2992</v>
      </c>
      <c r="J20" s="100">
        <f>'[1]updated may 7_FMS'!I110</f>
        <v>12502000</v>
      </c>
    </row>
    <row r="21" spans="1:10" s="2" customFormat="1" ht="14.25" customHeight="1" x14ac:dyDescent="0.25">
      <c r="A21" s="77"/>
      <c r="B21" s="75"/>
      <c r="C21" s="4"/>
      <c r="D21" s="83" t="s">
        <v>157</v>
      </c>
      <c r="E21" s="426">
        <v>887</v>
      </c>
      <c r="F21" s="440">
        <v>8089400</v>
      </c>
      <c r="G21" s="426">
        <v>922</v>
      </c>
      <c r="H21" s="100">
        <f t="shared" si="3"/>
        <v>13830000</v>
      </c>
      <c r="I21" s="426">
        <v>846</v>
      </c>
      <c r="J21" s="100">
        <f>'[1]updated may 7_FMS'!I111</f>
        <v>3736600</v>
      </c>
    </row>
    <row r="22" spans="1:10" s="2" customFormat="1" ht="14.25" customHeight="1" x14ac:dyDescent="0.25">
      <c r="A22" s="77"/>
      <c r="B22" s="75"/>
      <c r="C22" s="4"/>
      <c r="D22" s="83" t="s">
        <v>158</v>
      </c>
      <c r="E22" s="426">
        <v>853</v>
      </c>
      <c r="F22" s="440">
        <v>9762100</v>
      </c>
      <c r="G22" s="426">
        <v>866</v>
      </c>
      <c r="H22" s="100">
        <f t="shared" si="3"/>
        <v>12990000</v>
      </c>
      <c r="I22" s="426">
        <v>880</v>
      </c>
      <c r="J22" s="100">
        <f>'[1]updated may 7_FMS'!I112</f>
        <v>3792200</v>
      </c>
    </row>
    <row r="23" spans="1:10" s="2" customFormat="1" ht="18" customHeight="1" x14ac:dyDescent="0.25">
      <c r="A23" s="77"/>
      <c r="B23" s="75"/>
      <c r="C23" s="63"/>
      <c r="D23" s="70" t="s">
        <v>97</v>
      </c>
      <c r="E23" s="70">
        <f t="shared" ref="E23:J23" si="4">SUM(E24:E28)</f>
        <v>10891</v>
      </c>
      <c r="F23" s="84">
        <f t="shared" si="4"/>
        <v>114679500</v>
      </c>
      <c r="G23" s="70">
        <f t="shared" si="4"/>
        <v>11202</v>
      </c>
      <c r="H23" s="84">
        <f t="shared" si="4"/>
        <v>168030000</v>
      </c>
      <c r="I23" s="70">
        <f t="shared" si="4"/>
        <v>10718</v>
      </c>
      <c r="J23" s="84">
        <f t="shared" si="4"/>
        <v>44563300</v>
      </c>
    </row>
    <row r="24" spans="1:10" s="2" customFormat="1" ht="14.25" customHeight="1" x14ac:dyDescent="0.25">
      <c r="A24" s="77"/>
      <c r="B24" s="75"/>
      <c r="C24" s="4"/>
      <c r="D24" s="83" t="s">
        <v>159</v>
      </c>
      <c r="E24" s="426">
        <v>3462</v>
      </c>
      <c r="F24" s="440">
        <v>38543200</v>
      </c>
      <c r="G24" s="426">
        <v>3612</v>
      </c>
      <c r="H24" s="100">
        <f>G24*15000</f>
        <v>54180000</v>
      </c>
      <c r="I24" s="426">
        <v>3433</v>
      </c>
      <c r="J24" s="100">
        <f>'[1]updated may 7_FMS'!I114</f>
        <v>14665600</v>
      </c>
    </row>
    <row r="25" spans="1:10" s="2" customFormat="1" ht="14.25" customHeight="1" x14ac:dyDescent="0.25">
      <c r="A25" s="77"/>
      <c r="B25" s="75"/>
      <c r="C25" s="4"/>
      <c r="D25" s="83" t="s">
        <v>160</v>
      </c>
      <c r="E25" s="426">
        <v>765</v>
      </c>
      <c r="F25" s="440">
        <v>6673500</v>
      </c>
      <c r="G25" s="426">
        <v>777</v>
      </c>
      <c r="H25" s="100">
        <f>G25*15000</f>
        <v>11655000</v>
      </c>
      <c r="I25" s="426">
        <v>761</v>
      </c>
      <c r="J25" s="100">
        <f>'[1]updated may 7_FMS'!I115</f>
        <v>3152100</v>
      </c>
    </row>
    <row r="26" spans="1:10" s="2" customFormat="1" ht="14.25" customHeight="1" x14ac:dyDescent="0.25">
      <c r="A26" s="77"/>
      <c r="B26" s="75"/>
      <c r="C26" s="4"/>
      <c r="D26" s="83" t="s">
        <v>161</v>
      </c>
      <c r="E26" s="426">
        <v>2622</v>
      </c>
      <c r="F26" s="440">
        <v>27809000</v>
      </c>
      <c r="G26" s="426">
        <v>2630</v>
      </c>
      <c r="H26" s="100">
        <f>G26*15000</f>
        <v>39450000</v>
      </c>
      <c r="I26" s="426">
        <v>2534</v>
      </c>
      <c r="J26" s="100">
        <f>'[1]updated may 7_FMS'!I116</f>
        <v>10044200</v>
      </c>
    </row>
    <row r="27" spans="1:10" s="2" customFormat="1" ht="14.25" customHeight="1" x14ac:dyDescent="0.25">
      <c r="A27" s="77"/>
      <c r="B27" s="75"/>
      <c r="C27" s="4"/>
      <c r="D27" s="83" t="s">
        <v>162</v>
      </c>
      <c r="E27" s="426">
        <v>2771</v>
      </c>
      <c r="F27" s="440">
        <v>27663900</v>
      </c>
      <c r="G27" s="426">
        <v>2880</v>
      </c>
      <c r="H27" s="100">
        <f>G27*15000</f>
        <v>43200000</v>
      </c>
      <c r="I27" s="426">
        <v>2729</v>
      </c>
      <c r="J27" s="100">
        <f>'[1]updated may 7_FMS'!I117</f>
        <v>11250300</v>
      </c>
    </row>
    <row r="28" spans="1:10" s="2" customFormat="1" ht="14.25" customHeight="1" x14ac:dyDescent="0.25">
      <c r="A28" s="77"/>
      <c r="B28" s="75"/>
      <c r="C28" s="4"/>
      <c r="D28" s="83" t="s">
        <v>163</v>
      </c>
      <c r="E28" s="426">
        <v>1271</v>
      </c>
      <c r="F28" s="440">
        <v>13989900</v>
      </c>
      <c r="G28" s="426">
        <v>1303</v>
      </c>
      <c r="H28" s="100">
        <f>G28*15000</f>
        <v>19545000</v>
      </c>
      <c r="I28" s="426">
        <v>1261</v>
      </c>
      <c r="J28" s="100">
        <f>'[1]updated may 7_FMS'!I118</f>
        <v>5451100</v>
      </c>
    </row>
    <row r="29" spans="1:10" s="2" customFormat="1" ht="15.75" customHeight="1" x14ac:dyDescent="0.25">
      <c r="A29" s="77"/>
      <c r="B29" s="75"/>
      <c r="C29" s="63"/>
      <c r="D29" s="70" t="s">
        <v>98</v>
      </c>
      <c r="E29" s="70">
        <f t="shared" ref="E29:J29" si="5">SUM(E30:E37)</f>
        <v>17147</v>
      </c>
      <c r="F29" s="84">
        <f t="shared" si="5"/>
        <v>167186300</v>
      </c>
      <c r="G29" s="70">
        <f t="shared" si="5"/>
        <v>17612</v>
      </c>
      <c r="H29" s="84">
        <f t="shared" si="5"/>
        <v>264180000</v>
      </c>
      <c r="I29" s="70">
        <f t="shared" si="5"/>
        <v>16950</v>
      </c>
      <c r="J29" s="84">
        <f t="shared" si="5"/>
        <v>69299300</v>
      </c>
    </row>
    <row r="30" spans="1:10" s="2" customFormat="1" ht="14.25" customHeight="1" x14ac:dyDescent="0.25">
      <c r="A30" s="77"/>
      <c r="B30" s="75"/>
      <c r="C30" s="4"/>
      <c r="D30" s="83" t="s">
        <v>164</v>
      </c>
      <c r="E30" s="426">
        <v>2899</v>
      </c>
      <c r="F30" s="440">
        <v>28907900</v>
      </c>
      <c r="G30" s="426">
        <v>2995</v>
      </c>
      <c r="H30" s="100">
        <f t="shared" ref="H30:H37" si="6">G30*15000</f>
        <v>44925000</v>
      </c>
      <c r="I30" s="426">
        <v>2831</v>
      </c>
      <c r="J30" s="100">
        <f>'[1]updated may 7_FMS'!I120</f>
        <v>10892400</v>
      </c>
    </row>
    <row r="31" spans="1:10" s="2" customFormat="1" ht="14.25" customHeight="1" x14ac:dyDescent="0.25">
      <c r="A31" s="77"/>
      <c r="B31" s="75"/>
      <c r="C31" s="4"/>
      <c r="D31" s="83" t="s">
        <v>165</v>
      </c>
      <c r="E31" s="426">
        <v>4544</v>
      </c>
      <c r="F31" s="440">
        <v>47231300</v>
      </c>
      <c r="G31" s="426">
        <v>4673</v>
      </c>
      <c r="H31" s="100">
        <f t="shared" si="6"/>
        <v>70095000</v>
      </c>
      <c r="I31" s="426">
        <v>4519</v>
      </c>
      <c r="J31" s="100">
        <f>'[1]updated may 7_FMS'!I121</f>
        <v>18950500</v>
      </c>
    </row>
    <row r="32" spans="1:10" s="2" customFormat="1" ht="14.25" customHeight="1" x14ac:dyDescent="0.25">
      <c r="A32" s="77"/>
      <c r="B32" s="75"/>
      <c r="C32" s="4"/>
      <c r="D32" s="83" t="s">
        <v>166</v>
      </c>
      <c r="E32" s="426">
        <v>2526</v>
      </c>
      <c r="F32" s="440">
        <v>25869200</v>
      </c>
      <c r="G32" s="426">
        <v>2581</v>
      </c>
      <c r="H32" s="100">
        <f t="shared" si="6"/>
        <v>38715000</v>
      </c>
      <c r="I32" s="426">
        <v>2501</v>
      </c>
      <c r="J32" s="100">
        <f>'[1]updated may 7_FMS'!I122</f>
        <v>10893800</v>
      </c>
    </row>
    <row r="33" spans="1:10" s="2" customFormat="1" ht="14.25" customHeight="1" x14ac:dyDescent="0.25">
      <c r="A33" s="77"/>
      <c r="B33" s="75"/>
      <c r="C33" s="4"/>
      <c r="D33" s="83" t="s">
        <v>167</v>
      </c>
      <c r="E33" s="426">
        <v>2080</v>
      </c>
      <c r="F33" s="440">
        <v>16914900</v>
      </c>
      <c r="G33" s="426">
        <v>2100</v>
      </c>
      <c r="H33" s="100">
        <f t="shared" si="6"/>
        <v>31500000</v>
      </c>
      <c r="I33" s="426">
        <v>2063</v>
      </c>
      <c r="J33" s="100">
        <f>'[1]updated may 7_FMS'!I123</f>
        <v>7652400</v>
      </c>
    </row>
    <row r="34" spans="1:10" s="2" customFormat="1" ht="14.25" customHeight="1" x14ac:dyDescent="0.25">
      <c r="A34" s="77"/>
      <c r="B34" s="75"/>
      <c r="C34" s="4"/>
      <c r="D34" s="83" t="s">
        <v>168</v>
      </c>
      <c r="E34" s="426">
        <v>1158</v>
      </c>
      <c r="F34" s="440">
        <v>12791300</v>
      </c>
      <c r="G34" s="426">
        <v>1195</v>
      </c>
      <c r="H34" s="100">
        <f t="shared" si="6"/>
        <v>17925000</v>
      </c>
      <c r="I34" s="426">
        <v>1150</v>
      </c>
      <c r="J34" s="100">
        <f>'[1]updated may 7_FMS'!I124</f>
        <v>4999500</v>
      </c>
    </row>
    <row r="35" spans="1:10" s="2" customFormat="1" ht="14.25" customHeight="1" x14ac:dyDescent="0.25">
      <c r="A35" s="77"/>
      <c r="B35" s="75"/>
      <c r="C35" s="4"/>
      <c r="D35" s="83" t="s">
        <v>169</v>
      </c>
      <c r="E35" s="426">
        <v>1925</v>
      </c>
      <c r="F35" s="440">
        <v>15349800</v>
      </c>
      <c r="G35" s="426">
        <v>1981</v>
      </c>
      <c r="H35" s="100">
        <f t="shared" si="6"/>
        <v>29715000</v>
      </c>
      <c r="I35" s="426">
        <v>1891</v>
      </c>
      <c r="J35" s="100">
        <f>'[1]updated may 7_FMS'!I125</f>
        <v>7538100</v>
      </c>
    </row>
    <row r="36" spans="1:10" s="2" customFormat="1" ht="14.25" customHeight="1" x14ac:dyDescent="0.25">
      <c r="A36" s="77"/>
      <c r="B36" s="75"/>
      <c r="C36" s="4"/>
      <c r="D36" s="83" t="s">
        <v>170</v>
      </c>
      <c r="E36" s="426">
        <v>1273</v>
      </c>
      <c r="F36" s="440">
        <v>12590400</v>
      </c>
      <c r="G36" s="426">
        <v>1309</v>
      </c>
      <c r="H36" s="100">
        <f t="shared" si="6"/>
        <v>19635000</v>
      </c>
      <c r="I36" s="426">
        <v>1256</v>
      </c>
      <c r="J36" s="100">
        <f>'[1]updated may 7_FMS'!I126</f>
        <v>5248300</v>
      </c>
    </row>
    <row r="37" spans="1:10" s="2" customFormat="1" ht="14.25" customHeight="1" x14ac:dyDescent="0.25">
      <c r="A37" s="77"/>
      <c r="B37" s="75"/>
      <c r="C37" s="4"/>
      <c r="D37" s="83" t="s">
        <v>171</v>
      </c>
      <c r="E37" s="426">
        <v>742</v>
      </c>
      <c r="F37" s="440">
        <v>7531500</v>
      </c>
      <c r="G37" s="426">
        <v>778</v>
      </c>
      <c r="H37" s="100">
        <f t="shared" si="6"/>
        <v>11670000</v>
      </c>
      <c r="I37" s="426">
        <v>739</v>
      </c>
      <c r="J37" s="100">
        <f>'[1]updated may 7_FMS'!I127</f>
        <v>3124300</v>
      </c>
    </row>
    <row r="38" spans="1:10" s="8" customFormat="1" ht="5.25" customHeight="1" x14ac:dyDescent="0.25">
      <c r="A38" s="122"/>
      <c r="B38" s="122"/>
      <c r="C38" s="122"/>
      <c r="D38" s="122"/>
      <c r="E38" s="122"/>
      <c r="F38" s="173"/>
      <c r="G38" s="122"/>
      <c r="H38" s="173"/>
      <c r="J38" s="448"/>
    </row>
    <row r="39" spans="1:10" s="123" customFormat="1" ht="5.25" customHeight="1" x14ac:dyDescent="0.25">
      <c r="F39" s="174"/>
      <c r="H39" s="174"/>
      <c r="J39" s="174"/>
    </row>
    <row r="40" spans="1:10" s="123" customFormat="1" ht="5.25" customHeight="1" x14ac:dyDescent="0.25">
      <c r="F40" s="174"/>
      <c r="H40" s="174"/>
      <c r="J40" s="174"/>
    </row>
    <row r="41" spans="1:10" s="123" customFormat="1" ht="5.25" customHeight="1" x14ac:dyDescent="0.25">
      <c r="F41" s="174"/>
      <c r="H41" s="174"/>
      <c r="J41" s="174"/>
    </row>
    <row r="42" spans="1:10" s="123" customFormat="1" ht="5.25" customHeight="1" x14ac:dyDescent="0.25">
      <c r="F42" s="174"/>
      <c r="H42" s="174"/>
      <c r="J42" s="174"/>
    </row>
    <row r="43" spans="1:10" s="123" customFormat="1" ht="5.25" customHeight="1" x14ac:dyDescent="0.25">
      <c r="F43" s="174"/>
      <c r="H43" s="174"/>
      <c r="J43" s="174"/>
    </row>
    <row r="44" spans="1:10" s="123" customFormat="1" ht="5.25" customHeight="1" x14ac:dyDescent="0.25">
      <c r="F44" s="174"/>
      <c r="H44" s="174"/>
      <c r="J44" s="174"/>
    </row>
    <row r="45" spans="1:10" s="123" customFormat="1" ht="5.25" customHeight="1" x14ac:dyDescent="0.25">
      <c r="F45" s="174"/>
      <c r="H45" s="174"/>
      <c r="J45" s="174"/>
    </row>
    <row r="46" spans="1:10" s="123" customFormat="1" ht="5.25" customHeight="1" x14ac:dyDescent="0.25">
      <c r="F46" s="174"/>
      <c r="H46" s="174"/>
      <c r="J46" s="174"/>
    </row>
    <row r="47" spans="1:10" s="123" customFormat="1" ht="5.25" customHeight="1" x14ac:dyDescent="0.25">
      <c r="F47" s="174"/>
      <c r="H47" s="174"/>
      <c r="J47" s="174"/>
    </row>
    <row r="48" spans="1:10" s="123" customFormat="1" ht="5.25" customHeight="1" x14ac:dyDescent="0.25">
      <c r="F48" s="174"/>
      <c r="H48" s="174"/>
      <c r="J48" s="174"/>
    </row>
    <row r="49" spans="1:10" s="123" customFormat="1" ht="5.25" customHeight="1" x14ac:dyDescent="0.25">
      <c r="F49" s="174"/>
      <c r="H49" s="174"/>
      <c r="J49" s="174"/>
    </row>
    <row r="50" spans="1:10" s="123" customFormat="1" ht="5.25" customHeight="1" x14ac:dyDescent="0.25">
      <c r="F50" s="174"/>
      <c r="H50" s="174"/>
      <c r="J50" s="174"/>
    </row>
    <row r="51" spans="1:10" s="9" customFormat="1" ht="21.75" customHeight="1" x14ac:dyDescent="0.25">
      <c r="A51" s="1037" t="s">
        <v>61</v>
      </c>
      <c r="B51" s="831" t="s">
        <v>62</v>
      </c>
      <c r="C51" s="1038" t="s">
        <v>21</v>
      </c>
      <c r="D51" s="155" t="s">
        <v>81</v>
      </c>
      <c r="E51" s="159">
        <f t="shared" ref="E51:J51" si="7">E52+E56+E63+E69</f>
        <v>254</v>
      </c>
      <c r="F51" s="160">
        <f t="shared" si="7"/>
        <v>1392100</v>
      </c>
      <c r="G51" s="159">
        <f t="shared" si="7"/>
        <v>0</v>
      </c>
      <c r="H51" s="160">
        <f t="shared" si="7"/>
        <v>0</v>
      </c>
      <c r="I51" s="159">
        <f t="shared" si="7"/>
        <v>0</v>
      </c>
      <c r="J51" s="160">
        <f t="shared" si="7"/>
        <v>0</v>
      </c>
    </row>
    <row r="52" spans="1:10" s="3" customFormat="1" ht="21" customHeight="1" x14ac:dyDescent="0.25">
      <c r="A52" s="927"/>
      <c r="B52" s="832"/>
      <c r="C52" s="968"/>
      <c r="D52" s="70" t="s">
        <v>79</v>
      </c>
      <c r="E52" s="70">
        <f t="shared" ref="E52:J52" si="8">SUM(E53:E55)</f>
        <v>203</v>
      </c>
      <c r="F52" s="84">
        <f t="shared" si="8"/>
        <v>1136800</v>
      </c>
      <c r="G52" s="70">
        <f t="shared" si="8"/>
        <v>0</v>
      </c>
      <c r="H52" s="84">
        <f t="shared" si="8"/>
        <v>0</v>
      </c>
      <c r="I52" s="70">
        <f t="shared" si="8"/>
        <v>0</v>
      </c>
      <c r="J52" s="84">
        <f t="shared" si="8"/>
        <v>0</v>
      </c>
    </row>
    <row r="53" spans="1:10" s="2" customFormat="1" ht="14.25" customHeight="1" x14ac:dyDescent="0.25">
      <c r="A53" s="18"/>
      <c r="B53" s="832"/>
      <c r="C53" s="4"/>
      <c r="D53" s="83" t="s">
        <v>150</v>
      </c>
      <c r="E53" s="30">
        <v>140</v>
      </c>
      <c r="F53" s="37">
        <v>821300</v>
      </c>
      <c r="G53" s="4"/>
      <c r="H53" s="17"/>
      <c r="I53" s="395"/>
      <c r="J53" s="17"/>
    </row>
    <row r="54" spans="1:10" s="2" customFormat="1" ht="14.25" customHeight="1" x14ac:dyDescent="0.25">
      <c r="A54" s="972"/>
      <c r="B54" s="832"/>
      <c r="C54" s="4"/>
      <c r="D54" s="83" t="s">
        <v>151</v>
      </c>
      <c r="E54" s="30">
        <v>63</v>
      </c>
      <c r="F54" s="37">
        <v>315500</v>
      </c>
      <c r="G54" s="4"/>
      <c r="H54" s="17"/>
      <c r="I54" s="395"/>
      <c r="J54" s="17"/>
    </row>
    <row r="55" spans="1:10" s="2" customFormat="1" ht="14.25" customHeight="1" x14ac:dyDescent="0.25">
      <c r="A55" s="918"/>
      <c r="B55" s="832"/>
      <c r="C55" s="4"/>
      <c r="D55" s="83" t="s">
        <v>152</v>
      </c>
      <c r="E55" s="30"/>
      <c r="F55" s="37"/>
      <c r="G55" s="4"/>
      <c r="H55" s="17"/>
      <c r="I55" s="395"/>
      <c r="J55" s="17"/>
    </row>
    <row r="56" spans="1:10" s="2" customFormat="1" ht="18.75" customHeight="1" x14ac:dyDescent="0.25">
      <c r="A56" s="77"/>
      <c r="B56" s="832"/>
      <c r="C56" s="63"/>
      <c r="D56" s="70" t="s">
        <v>80</v>
      </c>
      <c r="E56" s="70">
        <f t="shared" ref="E56:J56" si="9">SUM(E57:E62)</f>
        <v>24</v>
      </c>
      <c r="F56" s="84">
        <f t="shared" si="9"/>
        <v>121100</v>
      </c>
      <c r="G56" s="70">
        <f t="shared" si="9"/>
        <v>0</v>
      </c>
      <c r="H56" s="84">
        <f t="shared" si="9"/>
        <v>0</v>
      </c>
      <c r="I56" s="70">
        <f t="shared" si="9"/>
        <v>0</v>
      </c>
      <c r="J56" s="84">
        <f t="shared" si="9"/>
        <v>0</v>
      </c>
    </row>
    <row r="57" spans="1:10" s="2" customFormat="1" ht="14.25" customHeight="1" x14ac:dyDescent="0.25">
      <c r="A57" s="77"/>
      <c r="B57" s="832"/>
      <c r="C57" s="4"/>
      <c r="D57" s="83" t="s">
        <v>153</v>
      </c>
      <c r="E57" s="30">
        <v>17</v>
      </c>
      <c r="F57" s="37">
        <v>88500</v>
      </c>
      <c r="G57" s="4"/>
      <c r="H57" s="17"/>
      <c r="I57" s="395"/>
      <c r="J57" s="17"/>
    </row>
    <row r="58" spans="1:10" s="2" customFormat="1" ht="14.25" customHeight="1" x14ac:dyDescent="0.25">
      <c r="A58" s="77"/>
      <c r="B58" s="832"/>
      <c r="C58" s="4"/>
      <c r="D58" s="83" t="s">
        <v>154</v>
      </c>
      <c r="E58" s="30"/>
      <c r="F58" s="37"/>
      <c r="G58" s="4"/>
      <c r="H58" s="17"/>
      <c r="I58" s="395"/>
      <c r="J58" s="17"/>
    </row>
    <row r="59" spans="1:10" s="2" customFormat="1" ht="14.25" customHeight="1" x14ac:dyDescent="0.25">
      <c r="A59" s="77"/>
      <c r="B59" s="832"/>
      <c r="C59" s="4"/>
      <c r="D59" s="83" t="s">
        <v>155</v>
      </c>
      <c r="E59" s="30"/>
      <c r="F59" s="37"/>
      <c r="G59" s="4"/>
      <c r="H59" s="17"/>
      <c r="I59" s="395"/>
      <c r="J59" s="17"/>
    </row>
    <row r="60" spans="1:10" s="2" customFormat="1" ht="14.25" customHeight="1" x14ac:dyDescent="0.25">
      <c r="A60" s="77"/>
      <c r="B60" s="832"/>
      <c r="C60" s="4"/>
      <c r="D60" s="83" t="s">
        <v>156</v>
      </c>
      <c r="E60" s="30"/>
      <c r="F60" s="37"/>
      <c r="G60" s="4"/>
      <c r="H60" s="17"/>
      <c r="I60" s="395"/>
      <c r="J60" s="17"/>
    </row>
    <row r="61" spans="1:10" s="2" customFormat="1" ht="14.25" customHeight="1" x14ac:dyDescent="0.25">
      <c r="A61" s="77"/>
      <c r="B61" s="832"/>
      <c r="C61" s="4"/>
      <c r="D61" s="83" t="s">
        <v>157</v>
      </c>
      <c r="E61" s="30">
        <v>7</v>
      </c>
      <c r="F61" s="37">
        <v>32600</v>
      </c>
      <c r="G61" s="4"/>
      <c r="H61" s="17"/>
      <c r="I61" s="395"/>
      <c r="J61" s="17"/>
    </row>
    <row r="62" spans="1:10" s="2" customFormat="1" ht="14.25" customHeight="1" x14ac:dyDescent="0.25">
      <c r="A62" s="77"/>
      <c r="B62" s="832"/>
      <c r="C62" s="4"/>
      <c r="D62" s="83" t="s">
        <v>158</v>
      </c>
      <c r="E62" s="30"/>
      <c r="F62" s="37"/>
      <c r="G62" s="4"/>
      <c r="H62" s="17"/>
      <c r="I62" s="395"/>
      <c r="J62" s="17"/>
    </row>
    <row r="63" spans="1:10" s="2" customFormat="1" ht="16.5" customHeight="1" x14ac:dyDescent="0.25">
      <c r="A63" s="77"/>
      <c r="B63" s="832"/>
      <c r="C63" s="63"/>
      <c r="D63" s="70" t="s">
        <v>97</v>
      </c>
      <c r="E63" s="70">
        <f t="shared" ref="E63:J63" si="10">SUM(E64:E68)</f>
        <v>0</v>
      </c>
      <c r="F63" s="84">
        <f t="shared" si="10"/>
        <v>0</v>
      </c>
      <c r="G63" s="70">
        <f t="shared" si="10"/>
        <v>0</v>
      </c>
      <c r="H63" s="84">
        <f t="shared" si="10"/>
        <v>0</v>
      </c>
      <c r="I63" s="70">
        <f t="shared" si="10"/>
        <v>0</v>
      </c>
      <c r="J63" s="84">
        <f t="shared" si="10"/>
        <v>0</v>
      </c>
    </row>
    <row r="64" spans="1:10" s="2" customFormat="1" ht="14.25" customHeight="1" x14ac:dyDescent="0.25">
      <c r="A64" s="77"/>
      <c r="B64" s="832"/>
      <c r="C64" s="4"/>
      <c r="D64" s="83" t="s">
        <v>159</v>
      </c>
      <c r="E64" s="30"/>
      <c r="F64" s="37"/>
      <c r="G64" s="4"/>
      <c r="H64" s="17"/>
      <c r="I64" s="395"/>
      <c r="J64" s="17"/>
    </row>
    <row r="65" spans="1:10" s="2" customFormat="1" ht="14.25" customHeight="1" x14ac:dyDescent="0.25">
      <c r="A65" s="77"/>
      <c r="B65" s="832"/>
      <c r="C65" s="4"/>
      <c r="D65" s="83" t="s">
        <v>160</v>
      </c>
      <c r="E65" s="30"/>
      <c r="F65" s="37"/>
      <c r="G65" s="4"/>
      <c r="H65" s="17"/>
      <c r="I65" s="395"/>
      <c r="J65" s="17"/>
    </row>
    <row r="66" spans="1:10" s="2" customFormat="1" ht="14.25" customHeight="1" x14ac:dyDescent="0.25">
      <c r="A66" s="77"/>
      <c r="B66" s="832"/>
      <c r="C66" s="4"/>
      <c r="D66" s="83" t="s">
        <v>161</v>
      </c>
      <c r="E66" s="30"/>
      <c r="F66" s="37"/>
      <c r="G66" s="4"/>
      <c r="H66" s="17"/>
      <c r="I66" s="395"/>
      <c r="J66" s="17"/>
    </row>
    <row r="67" spans="1:10" s="2" customFormat="1" ht="14.25" customHeight="1" x14ac:dyDescent="0.25">
      <c r="A67" s="77"/>
      <c r="B67" s="832"/>
      <c r="C67" s="4"/>
      <c r="D67" s="83" t="s">
        <v>162</v>
      </c>
      <c r="E67" s="30"/>
      <c r="F67" s="37"/>
      <c r="G67" s="4"/>
      <c r="H67" s="17"/>
      <c r="I67" s="395"/>
      <c r="J67" s="17"/>
    </row>
    <row r="68" spans="1:10" s="2" customFormat="1" ht="14.25" customHeight="1" x14ac:dyDescent="0.25">
      <c r="A68" s="77"/>
      <c r="B68" s="832"/>
      <c r="C68" s="4"/>
      <c r="D68" s="83" t="s">
        <v>163</v>
      </c>
      <c r="E68" s="30"/>
      <c r="F68" s="37"/>
      <c r="G68" s="4"/>
      <c r="H68" s="17"/>
      <c r="I68" s="395"/>
      <c r="J68" s="17"/>
    </row>
    <row r="69" spans="1:10" s="2" customFormat="1" ht="19.5" customHeight="1" x14ac:dyDescent="0.25">
      <c r="A69" s="77"/>
      <c r="B69" s="832"/>
      <c r="C69" s="63"/>
      <c r="D69" s="70" t="s">
        <v>98</v>
      </c>
      <c r="E69" s="70">
        <f t="shared" ref="E69:J69" si="11">SUM(E70:E77)</f>
        <v>27</v>
      </c>
      <c r="F69" s="84">
        <f t="shared" si="11"/>
        <v>134200</v>
      </c>
      <c r="G69" s="70">
        <f t="shared" si="11"/>
        <v>0</v>
      </c>
      <c r="H69" s="84">
        <f t="shared" si="11"/>
        <v>0</v>
      </c>
      <c r="I69" s="70">
        <f t="shared" si="11"/>
        <v>0</v>
      </c>
      <c r="J69" s="84">
        <f t="shared" si="11"/>
        <v>0</v>
      </c>
    </row>
    <row r="70" spans="1:10" s="2" customFormat="1" ht="14.25" customHeight="1" x14ac:dyDescent="0.25">
      <c r="A70" s="77"/>
      <c r="B70" s="832"/>
      <c r="C70" s="4"/>
      <c r="D70" s="83" t="s">
        <v>164</v>
      </c>
      <c r="E70" s="30">
        <v>27</v>
      </c>
      <c r="F70" s="37">
        <v>134200</v>
      </c>
      <c r="G70" s="4"/>
      <c r="H70" s="17"/>
      <c r="I70" s="395"/>
      <c r="J70" s="17"/>
    </row>
    <row r="71" spans="1:10" s="2" customFormat="1" ht="14.25" customHeight="1" x14ac:dyDescent="0.25">
      <c r="A71" s="77"/>
      <c r="B71" s="832"/>
      <c r="C71" s="4"/>
      <c r="D71" s="83" t="s">
        <v>165</v>
      </c>
      <c r="E71" s="30"/>
      <c r="F71" s="37"/>
      <c r="G71" s="4"/>
      <c r="H71" s="17"/>
      <c r="I71" s="395"/>
      <c r="J71" s="17"/>
    </row>
    <row r="72" spans="1:10" s="2" customFormat="1" ht="14.25" customHeight="1" x14ac:dyDescent="0.25">
      <c r="A72" s="77"/>
      <c r="B72" s="832"/>
      <c r="C72" s="4"/>
      <c r="D72" s="83" t="s">
        <v>166</v>
      </c>
      <c r="E72" s="30"/>
      <c r="F72" s="37"/>
      <c r="G72" s="4"/>
      <c r="H72" s="17"/>
      <c r="I72" s="395"/>
      <c r="J72" s="17"/>
    </row>
    <row r="73" spans="1:10" s="2" customFormat="1" ht="14.25" customHeight="1" x14ac:dyDescent="0.25">
      <c r="A73" s="77"/>
      <c r="B73" s="832"/>
      <c r="C73" s="4"/>
      <c r="D73" s="83" t="s">
        <v>167</v>
      </c>
      <c r="E73" s="30"/>
      <c r="F73" s="37"/>
      <c r="G73" s="4"/>
      <c r="H73" s="17"/>
      <c r="I73" s="395"/>
      <c r="J73" s="17"/>
    </row>
    <row r="74" spans="1:10" s="2" customFormat="1" ht="14.25" customHeight="1" x14ac:dyDescent="0.25">
      <c r="A74" s="77"/>
      <c r="B74" s="832"/>
      <c r="C74" s="4"/>
      <c r="D74" s="83" t="s">
        <v>168</v>
      </c>
      <c r="E74" s="30"/>
      <c r="F74" s="37"/>
      <c r="G74" s="4"/>
      <c r="H74" s="17"/>
      <c r="I74" s="395"/>
      <c r="J74" s="17"/>
    </row>
    <row r="75" spans="1:10" s="2" customFormat="1" ht="14.25" customHeight="1" x14ac:dyDescent="0.25">
      <c r="A75" s="77"/>
      <c r="B75" s="832"/>
      <c r="C75" s="4"/>
      <c r="D75" s="83" t="s">
        <v>169</v>
      </c>
      <c r="E75" s="30"/>
      <c r="F75" s="37"/>
      <c r="G75" s="4"/>
      <c r="H75" s="17"/>
      <c r="I75" s="395"/>
      <c r="J75" s="17"/>
    </row>
    <row r="76" spans="1:10" s="2" customFormat="1" ht="14.25" customHeight="1" x14ac:dyDescent="0.25">
      <c r="A76" s="77"/>
      <c r="B76" s="832"/>
      <c r="C76" s="4"/>
      <c r="D76" s="83" t="s">
        <v>170</v>
      </c>
      <c r="E76" s="30"/>
      <c r="F76" s="37"/>
      <c r="G76" s="4"/>
      <c r="H76" s="17"/>
      <c r="I76" s="395"/>
      <c r="J76" s="17"/>
    </row>
    <row r="77" spans="1:10" s="2" customFormat="1" ht="14.25" customHeight="1" x14ac:dyDescent="0.25">
      <c r="A77" s="77"/>
      <c r="B77" s="832"/>
      <c r="C77" s="4"/>
      <c r="D77" s="83" t="s">
        <v>171</v>
      </c>
      <c r="E77" s="30"/>
      <c r="F77" s="37"/>
      <c r="G77" s="4"/>
      <c r="H77" s="17"/>
      <c r="I77" s="395"/>
      <c r="J77" s="17"/>
    </row>
    <row r="78" spans="1:10" s="8" customFormat="1" ht="5.25" customHeight="1" x14ac:dyDescent="0.25">
      <c r="A78" s="7"/>
      <c r="B78" s="7"/>
      <c r="C78" s="7"/>
      <c r="D78" s="7"/>
      <c r="E78" s="7"/>
      <c r="F78" s="93"/>
      <c r="G78" s="7"/>
      <c r="H78" s="93"/>
      <c r="J78" s="448"/>
    </row>
    <row r="79" spans="1:10" s="9" customFormat="1" ht="18.75" customHeight="1" x14ac:dyDescent="0.25">
      <c r="A79" s="926" t="s">
        <v>7</v>
      </c>
      <c r="B79" s="832" t="s">
        <v>52</v>
      </c>
      <c r="C79" s="967" t="s">
        <v>53</v>
      </c>
      <c r="D79" s="155" t="s">
        <v>81</v>
      </c>
      <c r="E79" s="159">
        <f t="shared" ref="E79:J79" si="12">E80+E84+E91+E97</f>
        <v>1513</v>
      </c>
      <c r="F79" s="160">
        <f t="shared" si="12"/>
        <v>9014000</v>
      </c>
      <c r="G79" s="159">
        <f t="shared" si="12"/>
        <v>2472</v>
      </c>
      <c r="H79" s="160">
        <f t="shared" si="12"/>
        <v>12360000</v>
      </c>
      <c r="I79" s="159">
        <f t="shared" si="12"/>
        <v>364</v>
      </c>
      <c r="J79" s="160">
        <f t="shared" si="12"/>
        <v>2099000</v>
      </c>
    </row>
    <row r="80" spans="1:10" s="3" customFormat="1" ht="20.25" customHeight="1" x14ac:dyDescent="0.25">
      <c r="A80" s="927"/>
      <c r="B80" s="832"/>
      <c r="C80" s="968"/>
      <c r="D80" s="70" t="s">
        <v>79</v>
      </c>
      <c r="E80" s="70">
        <f t="shared" ref="E80:J80" si="13">SUM(E81:E83)</f>
        <v>270</v>
      </c>
      <c r="F80" s="84">
        <f t="shared" si="13"/>
        <v>1957000</v>
      </c>
      <c r="G80" s="70">
        <f t="shared" si="13"/>
        <v>570</v>
      </c>
      <c r="H80" s="84">
        <f t="shared" si="13"/>
        <v>2850000</v>
      </c>
      <c r="I80" s="70">
        <f t="shared" si="13"/>
        <v>5</v>
      </c>
      <c r="J80" s="84">
        <f t="shared" si="13"/>
        <v>34000</v>
      </c>
    </row>
    <row r="81" spans="1:10" s="2" customFormat="1" ht="14.25" customHeight="1" x14ac:dyDescent="0.25">
      <c r="A81" s="18"/>
      <c r="B81" s="832"/>
      <c r="C81" s="4"/>
      <c r="D81" s="83" t="s">
        <v>150</v>
      </c>
      <c r="E81" s="30">
        <f>31</f>
        <v>31</v>
      </c>
      <c r="F81" s="384">
        <f>247000</f>
        <v>247000</v>
      </c>
      <c r="G81" s="383">
        <v>450</v>
      </c>
      <c r="H81" s="384">
        <f>G81*5000</f>
        <v>2250000</v>
      </c>
      <c r="I81" s="30">
        <f>1</f>
        <v>1</v>
      </c>
      <c r="J81" s="384">
        <f>10000</f>
        <v>10000</v>
      </c>
    </row>
    <row r="82" spans="1:10" s="2" customFormat="1" ht="14.25" customHeight="1" x14ac:dyDescent="0.25">
      <c r="A82" s="972"/>
      <c r="B82" s="832"/>
      <c r="C82" s="4"/>
      <c r="D82" s="83" t="s">
        <v>151</v>
      </c>
      <c r="E82" s="30">
        <f>12+147</f>
        <v>159</v>
      </c>
      <c r="F82" s="384">
        <f>1153000</f>
        <v>1153000</v>
      </c>
      <c r="G82" s="383">
        <v>120</v>
      </c>
      <c r="H82" s="384">
        <f>G82*5000</f>
        <v>600000</v>
      </c>
      <c r="I82" s="30">
        <f>4</f>
        <v>4</v>
      </c>
      <c r="J82" s="384">
        <f>24000</f>
        <v>24000</v>
      </c>
    </row>
    <row r="83" spans="1:10" s="2" customFormat="1" ht="14.25" customHeight="1" x14ac:dyDescent="0.25">
      <c r="A83" s="918"/>
      <c r="B83" s="832"/>
      <c r="C83" s="4"/>
      <c r="D83" s="83" t="s">
        <v>152</v>
      </c>
      <c r="E83" s="30">
        <f>10+50+20</f>
        <v>80</v>
      </c>
      <c r="F83" s="384">
        <f>457000+100000</f>
        <v>557000</v>
      </c>
      <c r="G83" s="383"/>
      <c r="H83" s="384">
        <f>G83*5000</f>
        <v>0</v>
      </c>
      <c r="I83" s="30"/>
      <c r="J83" s="384"/>
    </row>
    <row r="84" spans="1:10" s="2" customFormat="1" ht="17.25" customHeight="1" x14ac:dyDescent="0.25">
      <c r="A84" s="77"/>
      <c r="B84" s="832"/>
      <c r="C84" s="63"/>
      <c r="D84" s="70" t="s">
        <v>80</v>
      </c>
      <c r="E84" s="70">
        <f t="shared" ref="E84:J84" si="14">SUM(E85:E90)</f>
        <v>437</v>
      </c>
      <c r="F84" s="84">
        <f t="shared" si="14"/>
        <v>2819000</v>
      </c>
      <c r="G84" s="70">
        <f t="shared" si="14"/>
        <v>1042</v>
      </c>
      <c r="H84" s="84">
        <f t="shared" si="14"/>
        <v>5210000</v>
      </c>
      <c r="I84" s="70">
        <f t="shared" si="14"/>
        <v>64</v>
      </c>
      <c r="J84" s="84">
        <f t="shared" si="14"/>
        <v>525000</v>
      </c>
    </row>
    <row r="85" spans="1:10" s="2" customFormat="1" ht="14.25" customHeight="1" x14ac:dyDescent="0.25">
      <c r="A85" s="77"/>
      <c r="B85" s="832"/>
      <c r="C85" s="4"/>
      <c r="D85" s="83" t="s">
        <v>153</v>
      </c>
      <c r="E85" s="30">
        <f>227+145</f>
        <v>372</v>
      </c>
      <c r="F85" s="384">
        <f>1652000+802000</f>
        <v>2454000</v>
      </c>
      <c r="G85" s="383">
        <v>592</v>
      </c>
      <c r="H85" s="384">
        <f t="shared" ref="H85:H90" si="15">G85*5000</f>
        <v>2960000</v>
      </c>
      <c r="I85" s="30">
        <f>1+16+41</f>
        <v>58</v>
      </c>
      <c r="J85" s="384">
        <f>10000+160000+10000+105000+185000</f>
        <v>470000</v>
      </c>
    </row>
    <row r="86" spans="1:10" s="2" customFormat="1" ht="14.25" customHeight="1" x14ac:dyDescent="0.25">
      <c r="A86" s="77"/>
      <c r="B86" s="832"/>
      <c r="C86" s="4"/>
      <c r="D86" s="83" t="s">
        <v>154</v>
      </c>
      <c r="E86" s="30">
        <f>3</f>
        <v>3</v>
      </c>
      <c r="F86" s="384">
        <f>30000</f>
        <v>30000</v>
      </c>
      <c r="G86" s="383"/>
      <c r="H86" s="384">
        <f t="shared" si="15"/>
        <v>0</v>
      </c>
      <c r="I86" s="30">
        <f>1+1</f>
        <v>2</v>
      </c>
      <c r="J86" s="384">
        <f>10000+10000</f>
        <v>20000</v>
      </c>
    </row>
    <row r="87" spans="1:10" s="2" customFormat="1" ht="14.25" customHeight="1" x14ac:dyDescent="0.25">
      <c r="A87" s="77"/>
      <c r="B87" s="832"/>
      <c r="C87" s="4"/>
      <c r="D87" s="83" t="s">
        <v>155</v>
      </c>
      <c r="E87" s="30">
        <f>5</f>
        <v>5</v>
      </c>
      <c r="F87" s="384">
        <f>40000</f>
        <v>40000</v>
      </c>
      <c r="G87" s="383">
        <v>120</v>
      </c>
      <c r="H87" s="384">
        <f t="shared" si="15"/>
        <v>600000</v>
      </c>
      <c r="I87" s="30">
        <f>1</f>
        <v>1</v>
      </c>
      <c r="J87" s="384">
        <f>5000</f>
        <v>5000</v>
      </c>
    </row>
    <row r="88" spans="1:10" s="2" customFormat="1" ht="14.25" customHeight="1" x14ac:dyDescent="0.25">
      <c r="A88" s="77"/>
      <c r="B88" s="832"/>
      <c r="C88" s="4"/>
      <c r="D88" s="83" t="s">
        <v>156</v>
      </c>
      <c r="E88" s="30">
        <f>1+1</f>
        <v>2</v>
      </c>
      <c r="F88" s="384">
        <f>10000+10000</f>
        <v>20000</v>
      </c>
      <c r="G88" s="383">
        <v>330</v>
      </c>
      <c r="H88" s="384">
        <f t="shared" si="15"/>
        <v>1650000</v>
      </c>
      <c r="I88" s="30"/>
      <c r="J88" s="384"/>
    </row>
    <row r="89" spans="1:10" s="2" customFormat="1" ht="14.25" customHeight="1" x14ac:dyDescent="0.25">
      <c r="A89" s="77"/>
      <c r="B89" s="832"/>
      <c r="C89" s="4"/>
      <c r="D89" s="83" t="s">
        <v>157</v>
      </c>
      <c r="E89" s="30">
        <f>50</f>
        <v>50</v>
      </c>
      <c r="F89" s="384">
        <f>250000</f>
        <v>250000</v>
      </c>
      <c r="G89" s="383"/>
      <c r="H89" s="384">
        <f t="shared" si="15"/>
        <v>0</v>
      </c>
      <c r="I89" s="30">
        <f>2</f>
        <v>2</v>
      </c>
      <c r="J89" s="384">
        <f>20000</f>
        <v>20000</v>
      </c>
    </row>
    <row r="90" spans="1:10" s="2" customFormat="1" ht="14.25" customHeight="1" x14ac:dyDescent="0.25">
      <c r="A90" s="77"/>
      <c r="B90" s="832"/>
      <c r="C90" s="4"/>
      <c r="D90" s="83" t="s">
        <v>158</v>
      </c>
      <c r="E90" s="30">
        <f>5</f>
        <v>5</v>
      </c>
      <c r="F90" s="384">
        <f>25000</f>
        <v>25000</v>
      </c>
      <c r="G90" s="383"/>
      <c r="H90" s="384">
        <f t="shared" si="15"/>
        <v>0</v>
      </c>
      <c r="I90" s="30">
        <f>1</f>
        <v>1</v>
      </c>
      <c r="J90" s="384">
        <f>10000</f>
        <v>10000</v>
      </c>
    </row>
    <row r="91" spans="1:10" s="2" customFormat="1" ht="18" customHeight="1" x14ac:dyDescent="0.25">
      <c r="A91" s="77"/>
      <c r="B91" s="832"/>
      <c r="C91" s="63"/>
      <c r="D91" s="70" t="s">
        <v>97</v>
      </c>
      <c r="E91" s="70">
        <f t="shared" ref="E91:J91" si="16">SUM(E92:E96)</f>
        <v>687</v>
      </c>
      <c r="F91" s="84">
        <f t="shared" si="16"/>
        <v>3328000</v>
      </c>
      <c r="G91" s="70">
        <f t="shared" si="16"/>
        <v>500</v>
      </c>
      <c r="H91" s="84">
        <f t="shared" si="16"/>
        <v>2500000</v>
      </c>
      <c r="I91" s="70">
        <f t="shared" si="16"/>
        <v>161</v>
      </c>
      <c r="J91" s="84">
        <f t="shared" si="16"/>
        <v>800000</v>
      </c>
    </row>
    <row r="92" spans="1:10" s="2" customFormat="1" ht="14.25" customHeight="1" x14ac:dyDescent="0.25">
      <c r="A92" s="77"/>
      <c r="B92" s="832"/>
      <c r="C92" s="4"/>
      <c r="D92" s="83" t="s">
        <v>159</v>
      </c>
      <c r="E92" s="30">
        <f>112+4</f>
        <v>116</v>
      </c>
      <c r="F92" s="384">
        <v>565000</v>
      </c>
      <c r="G92" s="383">
        <v>80</v>
      </c>
      <c r="H92" s="384">
        <f>G92*5000</f>
        <v>400000</v>
      </c>
      <c r="I92" s="30">
        <f>30</f>
        <v>30</v>
      </c>
      <c r="J92" s="384">
        <f>150000</f>
        <v>150000</v>
      </c>
    </row>
    <row r="93" spans="1:10" s="2" customFormat="1" ht="14.25" customHeight="1" x14ac:dyDescent="0.25">
      <c r="A93" s="77"/>
      <c r="B93" s="832"/>
      <c r="C93" s="4"/>
      <c r="D93" s="83" t="s">
        <v>160</v>
      </c>
      <c r="E93" s="30">
        <f>182+22+50</f>
        <v>254</v>
      </c>
      <c r="F93" s="384">
        <f>940000+250000</f>
        <v>1190000</v>
      </c>
      <c r="G93" s="383"/>
      <c r="H93" s="384">
        <f>G93*5000</f>
        <v>0</v>
      </c>
      <c r="I93" s="30">
        <f>40+1+20+12</f>
        <v>73</v>
      </c>
      <c r="J93" s="384">
        <f>200000+10000+10000+70000</f>
        <v>290000</v>
      </c>
    </row>
    <row r="94" spans="1:10" s="2" customFormat="1" ht="14.25" customHeight="1" x14ac:dyDescent="0.25">
      <c r="A94" s="77"/>
      <c r="B94" s="832"/>
      <c r="C94" s="4"/>
      <c r="D94" s="83" t="s">
        <v>161</v>
      </c>
      <c r="E94" s="30">
        <f>74+84+36</f>
        <v>194</v>
      </c>
      <c r="F94" s="384">
        <f>623000+175000</f>
        <v>798000</v>
      </c>
      <c r="G94" s="383">
        <v>150</v>
      </c>
      <c r="H94" s="384">
        <f>G94*5000</f>
        <v>750000</v>
      </c>
      <c r="I94" s="30">
        <f>25+27</f>
        <v>52</v>
      </c>
      <c r="J94" s="384">
        <f>140000+170000</f>
        <v>310000</v>
      </c>
    </row>
    <row r="95" spans="1:10" s="2" customFormat="1" ht="14.25" customHeight="1" x14ac:dyDescent="0.25">
      <c r="A95" s="77"/>
      <c r="B95" s="832"/>
      <c r="C95" s="4"/>
      <c r="D95" s="83" t="s">
        <v>162</v>
      </c>
      <c r="E95" s="30">
        <f>20+70+27</f>
        <v>117</v>
      </c>
      <c r="F95" s="384">
        <f>580000+135000</f>
        <v>715000</v>
      </c>
      <c r="G95" s="383">
        <v>150</v>
      </c>
      <c r="H95" s="384">
        <f>G95*5000</f>
        <v>750000</v>
      </c>
      <c r="I95" s="30">
        <f>4+2</f>
        <v>6</v>
      </c>
      <c r="J95" s="384">
        <f>30000+20000</f>
        <v>50000</v>
      </c>
    </row>
    <row r="96" spans="1:10" s="2" customFormat="1" ht="14.25" customHeight="1" x14ac:dyDescent="0.25">
      <c r="A96" s="77"/>
      <c r="B96" s="832"/>
      <c r="C96" s="4"/>
      <c r="D96" s="83" t="s">
        <v>163</v>
      </c>
      <c r="E96" s="30">
        <f>4+2</f>
        <v>6</v>
      </c>
      <c r="F96" s="384">
        <f>40000+20000</f>
        <v>60000</v>
      </c>
      <c r="G96" s="383">
        <v>120</v>
      </c>
      <c r="H96" s="384">
        <f>G96*5000</f>
        <v>600000</v>
      </c>
      <c r="I96" s="30"/>
      <c r="J96" s="384"/>
    </row>
    <row r="97" spans="1:10" s="2" customFormat="1" ht="18" customHeight="1" x14ac:dyDescent="0.25">
      <c r="A97" s="77"/>
      <c r="B97" s="832"/>
      <c r="C97" s="63"/>
      <c r="D97" s="70" t="s">
        <v>98</v>
      </c>
      <c r="E97" s="70">
        <f t="shared" ref="E97:J97" si="17">SUM(E98:E105)</f>
        <v>119</v>
      </c>
      <c r="F97" s="84">
        <f t="shared" si="17"/>
        <v>910000</v>
      </c>
      <c r="G97" s="70">
        <f t="shared" si="17"/>
        <v>360</v>
      </c>
      <c r="H97" s="84">
        <f t="shared" si="17"/>
        <v>1800000</v>
      </c>
      <c r="I97" s="70">
        <f t="shared" si="17"/>
        <v>134</v>
      </c>
      <c r="J97" s="84">
        <f t="shared" si="17"/>
        <v>740000</v>
      </c>
    </row>
    <row r="98" spans="1:10" s="2" customFormat="1" ht="14.25" customHeight="1" x14ac:dyDescent="0.25">
      <c r="A98" s="77"/>
      <c r="B98" s="832"/>
      <c r="C98" s="4"/>
      <c r="D98" s="83" t="s">
        <v>164</v>
      </c>
      <c r="E98" s="30">
        <f>1</f>
        <v>1</v>
      </c>
      <c r="F98" s="384">
        <f>10000</f>
        <v>10000</v>
      </c>
      <c r="G98" s="383"/>
      <c r="H98" s="384">
        <f t="shared" ref="H98:H105" si="18">G98*5000</f>
        <v>0</v>
      </c>
      <c r="I98" s="30"/>
      <c r="J98" s="384"/>
    </row>
    <row r="99" spans="1:10" s="2" customFormat="1" ht="14.25" customHeight="1" x14ac:dyDescent="0.25">
      <c r="A99" s="77"/>
      <c r="B99" s="832"/>
      <c r="C99" s="4"/>
      <c r="D99" s="83" t="s">
        <v>165</v>
      </c>
      <c r="E99" s="30">
        <f>62+25</f>
        <v>87</v>
      </c>
      <c r="F99" s="384">
        <f>540000+125000</f>
        <v>665000</v>
      </c>
      <c r="G99" s="383">
        <v>200</v>
      </c>
      <c r="H99" s="384">
        <f t="shared" si="18"/>
        <v>1000000</v>
      </c>
      <c r="I99" s="30">
        <f>80+2+9</f>
        <v>91</v>
      </c>
      <c r="J99" s="384">
        <f>400000+20000+85000</f>
        <v>505000</v>
      </c>
    </row>
    <row r="100" spans="1:10" s="2" customFormat="1" ht="14.25" customHeight="1" x14ac:dyDescent="0.25">
      <c r="A100" s="77"/>
      <c r="B100" s="832"/>
      <c r="C100" s="4"/>
      <c r="D100" s="83" t="s">
        <v>166</v>
      </c>
      <c r="E100" s="30">
        <f>15</f>
        <v>15</v>
      </c>
      <c r="F100" s="384">
        <f>75000</f>
        <v>75000</v>
      </c>
      <c r="G100" s="383">
        <v>80</v>
      </c>
      <c r="H100" s="384">
        <f t="shared" si="18"/>
        <v>400000</v>
      </c>
      <c r="I100" s="30"/>
      <c r="J100" s="384"/>
    </row>
    <row r="101" spans="1:10" s="2" customFormat="1" ht="14.25" customHeight="1" x14ac:dyDescent="0.25">
      <c r="A101" s="77"/>
      <c r="B101" s="832"/>
      <c r="C101" s="4"/>
      <c r="D101" s="83" t="s">
        <v>167</v>
      </c>
      <c r="E101" s="30"/>
      <c r="F101" s="384"/>
      <c r="G101" s="383">
        <v>80</v>
      </c>
      <c r="H101" s="384">
        <f t="shared" si="18"/>
        <v>400000</v>
      </c>
      <c r="I101" s="30"/>
      <c r="J101" s="384"/>
    </row>
    <row r="102" spans="1:10" s="2" customFormat="1" ht="14.25" customHeight="1" x14ac:dyDescent="0.25">
      <c r="A102" s="77"/>
      <c r="B102" s="832"/>
      <c r="C102" s="4"/>
      <c r="D102" s="83" t="s">
        <v>168</v>
      </c>
      <c r="E102" s="30">
        <f>15</f>
        <v>15</v>
      </c>
      <c r="F102" s="384">
        <f>150000</f>
        <v>150000</v>
      </c>
      <c r="G102" s="383"/>
      <c r="H102" s="384">
        <f t="shared" si="18"/>
        <v>0</v>
      </c>
      <c r="I102" s="30">
        <f>1+15</f>
        <v>16</v>
      </c>
      <c r="J102" s="384">
        <f>10000+80000</f>
        <v>90000</v>
      </c>
    </row>
    <row r="103" spans="1:10" s="2" customFormat="1" ht="14.25" customHeight="1" x14ac:dyDescent="0.25">
      <c r="A103" s="77"/>
      <c r="B103" s="832"/>
      <c r="C103" s="4"/>
      <c r="D103" s="83" t="s">
        <v>169</v>
      </c>
      <c r="E103" s="30"/>
      <c r="F103" s="384"/>
      <c r="G103" s="383"/>
      <c r="H103" s="384">
        <f t="shared" si="18"/>
        <v>0</v>
      </c>
      <c r="I103" s="30"/>
      <c r="J103" s="384"/>
    </row>
    <row r="104" spans="1:10" s="2" customFormat="1" ht="14.25" customHeight="1" x14ac:dyDescent="0.25">
      <c r="A104" s="77"/>
      <c r="B104" s="832"/>
      <c r="C104" s="4"/>
      <c r="D104" s="83" t="s">
        <v>170</v>
      </c>
      <c r="E104" s="30">
        <f>1</f>
        <v>1</v>
      </c>
      <c r="F104" s="384">
        <f>10000</f>
        <v>10000</v>
      </c>
      <c r="G104" s="383"/>
      <c r="H104" s="384">
        <f t="shared" si="18"/>
        <v>0</v>
      </c>
      <c r="I104" s="30">
        <f>25</f>
        <v>25</v>
      </c>
      <c r="J104" s="384">
        <f>125000</f>
        <v>125000</v>
      </c>
    </row>
    <row r="105" spans="1:10" s="2" customFormat="1" ht="14.25" customHeight="1" x14ac:dyDescent="0.25">
      <c r="A105" s="77"/>
      <c r="B105" s="832"/>
      <c r="C105" s="4"/>
      <c r="D105" s="83" t="s">
        <v>171</v>
      </c>
      <c r="E105" s="30"/>
      <c r="F105" s="384"/>
      <c r="G105" s="383"/>
      <c r="H105" s="384">
        <f t="shared" si="18"/>
        <v>0</v>
      </c>
      <c r="I105" s="30">
        <f>2</f>
        <v>2</v>
      </c>
      <c r="J105" s="384">
        <f>20000</f>
        <v>20000</v>
      </c>
    </row>
    <row r="106" spans="1:10" s="8" customFormat="1" ht="5.25" customHeight="1" x14ac:dyDescent="0.25">
      <c r="A106" s="7"/>
      <c r="B106" s="7"/>
      <c r="C106" s="7"/>
      <c r="D106" s="7"/>
      <c r="E106" s="7"/>
      <c r="F106" s="93"/>
      <c r="G106" s="7"/>
      <c r="H106" s="93"/>
      <c r="J106" s="448"/>
    </row>
    <row r="107" spans="1:10" s="9" customFormat="1" ht="19.5" customHeight="1" x14ac:dyDescent="0.25">
      <c r="A107" s="926" t="s">
        <v>6</v>
      </c>
      <c r="B107" s="831" t="s">
        <v>54</v>
      </c>
      <c r="C107" s="856" t="s">
        <v>20</v>
      </c>
      <c r="D107" s="155" t="s">
        <v>81</v>
      </c>
      <c r="E107" s="161">
        <f t="shared" ref="E107:J107" si="19">E108+E112+E119+E131</f>
        <v>29093</v>
      </c>
      <c r="F107" s="158">
        <f t="shared" si="19"/>
        <v>27229130</v>
      </c>
      <c r="G107" s="161">
        <f t="shared" si="19"/>
        <v>40884</v>
      </c>
      <c r="H107" s="158">
        <f t="shared" si="19"/>
        <v>63779040</v>
      </c>
      <c r="I107" s="161">
        <f t="shared" si="19"/>
        <v>4831</v>
      </c>
      <c r="J107" s="158">
        <f t="shared" si="19"/>
        <v>7594006</v>
      </c>
    </row>
    <row r="108" spans="1:10" s="3" customFormat="1" ht="21" customHeight="1" x14ac:dyDescent="0.25">
      <c r="A108" s="927"/>
      <c r="B108" s="832"/>
      <c r="C108" s="857"/>
      <c r="D108" s="70" t="s">
        <v>79</v>
      </c>
      <c r="E108" s="70">
        <f t="shared" ref="E108:J108" si="20">SUM(E109:E111)</f>
        <v>4366</v>
      </c>
      <c r="F108" s="84">
        <f t="shared" si="20"/>
        <v>2297250</v>
      </c>
      <c r="G108" s="70">
        <f t="shared" si="20"/>
        <v>10471</v>
      </c>
      <c r="H108" s="84">
        <f t="shared" si="20"/>
        <v>16334760</v>
      </c>
      <c r="I108" s="70">
        <f t="shared" si="20"/>
        <v>0</v>
      </c>
      <c r="J108" s="84">
        <f t="shared" si="20"/>
        <v>0</v>
      </c>
    </row>
    <row r="109" spans="1:10" s="2" customFormat="1" ht="14.25" customHeight="1" x14ac:dyDescent="0.25">
      <c r="A109" s="18"/>
      <c r="B109" s="832"/>
      <c r="C109" s="857"/>
      <c r="D109" s="83" t="s">
        <v>150</v>
      </c>
      <c r="E109" s="30"/>
      <c r="F109" s="37"/>
      <c r="G109" s="4">
        <v>5232</v>
      </c>
      <c r="H109" s="17">
        <v>8161920</v>
      </c>
      <c r="I109" s="395"/>
      <c r="J109" s="17"/>
    </row>
    <row r="110" spans="1:10" s="2" customFormat="1" ht="14.25" customHeight="1" x14ac:dyDescent="0.25">
      <c r="A110" s="972"/>
      <c r="B110" s="832"/>
      <c r="C110" s="168"/>
      <c r="D110" s="83" t="s">
        <v>151</v>
      </c>
      <c r="E110" s="30">
        <v>2911</v>
      </c>
      <c r="F110" s="37" t="s">
        <v>207</v>
      </c>
      <c r="G110" s="4">
        <v>3493</v>
      </c>
      <c r="H110" s="17">
        <v>5449080</v>
      </c>
      <c r="I110" s="395"/>
      <c r="J110" s="17"/>
    </row>
    <row r="111" spans="1:10" s="2" customFormat="1" ht="14.25" customHeight="1" x14ac:dyDescent="0.25">
      <c r="A111" s="918"/>
      <c r="B111" s="105"/>
      <c r="C111" s="168"/>
      <c r="D111" s="83" t="s">
        <v>152</v>
      </c>
      <c r="E111" s="30">
        <v>1455</v>
      </c>
      <c r="F111" s="37">
        <v>2297250</v>
      </c>
      <c r="G111" s="4">
        <v>1746</v>
      </c>
      <c r="H111" s="17">
        <v>2723760</v>
      </c>
      <c r="I111" s="395"/>
      <c r="J111" s="17"/>
    </row>
    <row r="112" spans="1:10" s="2" customFormat="1" ht="18" customHeight="1" x14ac:dyDescent="0.25">
      <c r="A112" s="77"/>
      <c r="B112" s="105"/>
      <c r="C112" s="168"/>
      <c r="D112" s="70" t="s">
        <v>80</v>
      </c>
      <c r="E112" s="70">
        <f t="shared" ref="E112:J112" si="21">SUM(E113:E118)</f>
        <v>9361</v>
      </c>
      <c r="F112" s="84">
        <f t="shared" si="21"/>
        <v>11830940</v>
      </c>
      <c r="G112" s="70">
        <f t="shared" si="21"/>
        <v>11368</v>
      </c>
      <c r="H112" s="84">
        <f t="shared" si="21"/>
        <v>17734080</v>
      </c>
      <c r="I112" s="70">
        <f t="shared" si="21"/>
        <v>1960</v>
      </c>
      <c r="J112" s="84">
        <f t="shared" si="21"/>
        <v>3080800</v>
      </c>
    </row>
    <row r="113" spans="1:10" s="2" customFormat="1" ht="14.25" customHeight="1" x14ac:dyDescent="0.25">
      <c r="A113" s="77"/>
      <c r="B113" s="105"/>
      <c r="C113" s="168"/>
      <c r="D113" s="83" t="s">
        <v>153</v>
      </c>
      <c r="E113" s="30">
        <v>1830</v>
      </c>
      <c r="F113" s="37">
        <v>2876750</v>
      </c>
      <c r="G113" s="4">
        <v>2250</v>
      </c>
      <c r="H113" s="17">
        <v>3510000</v>
      </c>
      <c r="I113" s="395"/>
      <c r="J113" s="17"/>
    </row>
    <row r="114" spans="1:10" s="2" customFormat="1" ht="14.25" customHeight="1" x14ac:dyDescent="0.25">
      <c r="A114" s="77"/>
      <c r="B114" s="105"/>
      <c r="C114" s="168"/>
      <c r="D114" s="83" t="s">
        <v>154</v>
      </c>
      <c r="E114" s="30">
        <v>1933</v>
      </c>
      <c r="F114" s="37">
        <v>3038680</v>
      </c>
      <c r="G114" s="4">
        <v>2400</v>
      </c>
      <c r="H114" s="17">
        <v>3744000</v>
      </c>
      <c r="I114" s="395">
        <v>1960</v>
      </c>
      <c r="J114" s="17">
        <v>3080800</v>
      </c>
    </row>
    <row r="115" spans="1:10" s="2" customFormat="1" ht="14.25" customHeight="1" x14ac:dyDescent="0.25">
      <c r="A115" s="77"/>
      <c r="B115" s="105"/>
      <c r="C115" s="168"/>
      <c r="D115" s="83" t="s">
        <v>155</v>
      </c>
      <c r="E115" s="30">
        <v>2082</v>
      </c>
      <c r="F115" s="37"/>
      <c r="G115" s="4">
        <v>2499</v>
      </c>
      <c r="H115" s="17">
        <v>3898440</v>
      </c>
      <c r="I115" s="395"/>
      <c r="J115" s="17"/>
    </row>
    <row r="116" spans="1:10" s="2" customFormat="1" ht="14.25" customHeight="1" x14ac:dyDescent="0.25">
      <c r="A116" s="77"/>
      <c r="B116" s="105"/>
      <c r="C116" s="168"/>
      <c r="D116" s="83" t="s">
        <v>156</v>
      </c>
      <c r="E116" s="30">
        <f>1891+229</f>
        <v>2120</v>
      </c>
      <c r="F116" s="37">
        <f>2972660+357240</f>
        <v>3329900</v>
      </c>
      <c r="G116" s="4">
        <v>2544</v>
      </c>
      <c r="H116" s="17">
        <v>3968640</v>
      </c>
      <c r="I116" s="395"/>
      <c r="J116" s="17"/>
    </row>
    <row r="117" spans="1:10" s="2" customFormat="1" ht="14.25" customHeight="1" x14ac:dyDescent="0.25">
      <c r="A117" s="77"/>
      <c r="B117" s="105"/>
      <c r="C117" s="168"/>
      <c r="D117" s="83" t="s">
        <v>157</v>
      </c>
      <c r="E117" s="30">
        <f>741</f>
        <v>741</v>
      </c>
      <c r="F117" s="37">
        <v>1555960</v>
      </c>
      <c r="G117" s="4">
        <v>889</v>
      </c>
      <c r="H117" s="17">
        <v>1386840</v>
      </c>
      <c r="I117" s="395"/>
      <c r="J117" s="17"/>
    </row>
    <row r="118" spans="1:10" s="2" customFormat="1" ht="14.25" customHeight="1" x14ac:dyDescent="0.25">
      <c r="A118" s="77"/>
      <c r="B118" s="105"/>
      <c r="C118" s="168"/>
      <c r="D118" s="83" t="s">
        <v>158</v>
      </c>
      <c r="E118" s="30">
        <v>655</v>
      </c>
      <c r="F118" s="37">
        <v>1029650</v>
      </c>
      <c r="G118" s="4">
        <v>786</v>
      </c>
      <c r="H118" s="17">
        <v>1226160</v>
      </c>
      <c r="I118" s="395"/>
      <c r="J118" s="17"/>
    </row>
    <row r="119" spans="1:10" s="2" customFormat="1" ht="20.25" customHeight="1" x14ac:dyDescent="0.25">
      <c r="A119" s="77"/>
      <c r="B119" s="105"/>
      <c r="C119" s="168"/>
      <c r="D119" s="70" t="s">
        <v>97</v>
      </c>
      <c r="E119" s="70">
        <f t="shared" ref="E119:J119" si="22">SUM(E120:E124)</f>
        <v>8661</v>
      </c>
      <c r="F119" s="84">
        <f t="shared" si="22"/>
        <v>4667240</v>
      </c>
      <c r="G119" s="70">
        <f t="shared" si="22"/>
        <v>10825</v>
      </c>
      <c r="H119" s="84">
        <f t="shared" si="22"/>
        <v>16887000</v>
      </c>
      <c r="I119" s="70">
        <f t="shared" si="22"/>
        <v>0</v>
      </c>
      <c r="J119" s="84">
        <f t="shared" si="22"/>
        <v>0</v>
      </c>
    </row>
    <row r="120" spans="1:10" s="2" customFormat="1" ht="14.25" customHeight="1" x14ac:dyDescent="0.25">
      <c r="A120" s="77"/>
      <c r="B120" s="105"/>
      <c r="C120" s="168"/>
      <c r="D120" s="83" t="s">
        <v>159</v>
      </c>
      <c r="E120" s="30">
        <v>2194</v>
      </c>
      <c r="F120" s="37">
        <v>3448940</v>
      </c>
      <c r="G120" s="4">
        <v>2633</v>
      </c>
      <c r="H120" s="17">
        <v>4107480</v>
      </c>
      <c r="I120" s="395"/>
      <c r="J120" s="17"/>
    </row>
    <row r="121" spans="1:10" s="2" customFormat="1" ht="14.25" customHeight="1" x14ac:dyDescent="0.25">
      <c r="A121" s="77"/>
      <c r="B121" s="105"/>
      <c r="C121" s="168"/>
      <c r="D121" s="83" t="s">
        <v>160</v>
      </c>
      <c r="E121" s="30">
        <v>1385</v>
      </c>
      <c r="F121" s="37"/>
      <c r="G121" s="4">
        <v>1662</v>
      </c>
      <c r="H121" s="17">
        <v>2592720</v>
      </c>
      <c r="I121" s="395"/>
      <c r="J121" s="17"/>
    </row>
    <row r="122" spans="1:10" s="2" customFormat="1" ht="14.25" customHeight="1" x14ac:dyDescent="0.25">
      <c r="A122" s="77"/>
      <c r="B122" s="105"/>
      <c r="C122" s="168"/>
      <c r="D122" s="83" t="s">
        <v>161</v>
      </c>
      <c r="E122" s="30">
        <v>3126</v>
      </c>
      <c r="F122" s="37"/>
      <c r="G122" s="4">
        <v>3183</v>
      </c>
      <c r="H122" s="17">
        <v>4965480</v>
      </c>
      <c r="I122" s="395"/>
      <c r="J122" s="17"/>
    </row>
    <row r="123" spans="1:10" s="2" customFormat="1" ht="14.25" customHeight="1" x14ac:dyDescent="0.25">
      <c r="A123" s="77"/>
      <c r="B123" s="105"/>
      <c r="C123" s="168"/>
      <c r="D123" s="83" t="s">
        <v>162</v>
      </c>
      <c r="E123" s="30">
        <v>1201</v>
      </c>
      <c r="F123" s="37" t="s">
        <v>208</v>
      </c>
      <c r="G123" s="4">
        <v>1941</v>
      </c>
      <c r="H123" s="17">
        <v>3027960</v>
      </c>
      <c r="I123" s="395"/>
      <c r="J123" s="17"/>
    </row>
    <row r="124" spans="1:10" s="2" customFormat="1" ht="14.25" customHeight="1" x14ac:dyDescent="0.25">
      <c r="A124" s="153"/>
      <c r="B124" s="106"/>
      <c r="C124" s="169"/>
      <c r="D124" s="83" t="s">
        <v>163</v>
      </c>
      <c r="E124" s="30">
        <v>755</v>
      </c>
      <c r="F124" s="37">
        <v>1218300</v>
      </c>
      <c r="G124" s="4">
        <v>1406</v>
      </c>
      <c r="H124" s="17">
        <v>2193360</v>
      </c>
      <c r="I124" s="395"/>
      <c r="J124" s="17"/>
    </row>
    <row r="125" spans="1:10" s="52" customFormat="1" ht="14.25" customHeight="1" x14ac:dyDescent="0.25">
      <c r="A125" s="175"/>
      <c r="B125" s="50"/>
      <c r="C125" s="170"/>
      <c r="D125" s="116"/>
      <c r="E125" s="176"/>
      <c r="F125" s="177"/>
      <c r="H125" s="178"/>
      <c r="J125" s="178"/>
    </row>
    <row r="126" spans="1:10" s="52" customFormat="1" ht="14.25" customHeight="1" x14ac:dyDescent="0.25">
      <c r="A126" s="175"/>
      <c r="B126" s="50"/>
      <c r="C126" s="170"/>
      <c r="D126" s="116"/>
      <c r="E126" s="176"/>
      <c r="F126" s="177"/>
      <c r="H126" s="178"/>
      <c r="J126" s="178"/>
    </row>
    <row r="127" spans="1:10" s="52" customFormat="1" ht="14.25" customHeight="1" x14ac:dyDescent="0.25">
      <c r="A127" s="175"/>
      <c r="B127" s="50"/>
      <c r="C127" s="170"/>
      <c r="D127" s="116"/>
      <c r="E127" s="176"/>
      <c r="F127" s="177"/>
      <c r="H127" s="178"/>
      <c r="J127" s="178"/>
    </row>
    <row r="128" spans="1:10" s="52" customFormat="1" ht="14.25" customHeight="1" x14ac:dyDescent="0.25">
      <c r="A128" s="175"/>
      <c r="B128" s="50"/>
      <c r="C128" s="170"/>
      <c r="D128" s="116"/>
      <c r="E128" s="176"/>
      <c r="F128" s="177"/>
      <c r="H128" s="178"/>
      <c r="J128" s="178"/>
    </row>
    <row r="129" spans="1:10" s="52" customFormat="1" ht="14.25" customHeight="1" x14ac:dyDescent="0.25">
      <c r="A129" s="175"/>
      <c r="B129" s="50"/>
      <c r="C129" s="170"/>
      <c r="D129" s="116"/>
      <c r="E129" s="176"/>
      <c r="F129" s="177"/>
      <c r="H129" s="178"/>
      <c r="J129" s="178"/>
    </row>
    <row r="130" spans="1:10" s="52" customFormat="1" ht="14.25" customHeight="1" x14ac:dyDescent="0.25">
      <c r="A130" s="175"/>
      <c r="B130" s="50"/>
      <c r="C130" s="170"/>
      <c r="D130" s="116"/>
      <c r="E130" s="176"/>
      <c r="F130" s="177"/>
      <c r="H130" s="178"/>
      <c r="J130" s="178"/>
    </row>
    <row r="131" spans="1:10" s="2" customFormat="1" ht="17.25" customHeight="1" x14ac:dyDescent="0.25">
      <c r="A131" s="77"/>
      <c r="B131" s="105"/>
      <c r="C131" s="168"/>
      <c r="D131" s="70" t="s">
        <v>98</v>
      </c>
      <c r="E131" s="70">
        <f t="shared" ref="E131:J131" si="23">SUM(E132:E139)</f>
        <v>6705</v>
      </c>
      <c r="F131" s="84">
        <f t="shared" si="23"/>
        <v>8433700</v>
      </c>
      <c r="G131" s="70">
        <f t="shared" si="23"/>
        <v>8220</v>
      </c>
      <c r="H131" s="84">
        <f t="shared" si="23"/>
        <v>12823200</v>
      </c>
      <c r="I131" s="70">
        <f t="shared" si="23"/>
        <v>2871</v>
      </c>
      <c r="J131" s="84">
        <f t="shared" si="23"/>
        <v>4513206</v>
      </c>
    </row>
    <row r="132" spans="1:10" s="2" customFormat="1" ht="14.25" customHeight="1" x14ac:dyDescent="0.25">
      <c r="A132" s="77"/>
      <c r="B132" s="105"/>
      <c r="C132" s="168"/>
      <c r="D132" s="83" t="s">
        <v>164</v>
      </c>
      <c r="E132" s="30">
        <v>1340</v>
      </c>
      <c r="F132" s="37"/>
      <c r="G132" s="4">
        <v>1281</v>
      </c>
      <c r="H132" s="17">
        <v>1998360</v>
      </c>
      <c r="I132" s="395"/>
      <c r="J132" s="17"/>
    </row>
    <row r="133" spans="1:10" s="2" customFormat="1" ht="14.25" customHeight="1" x14ac:dyDescent="0.25">
      <c r="A133" s="77"/>
      <c r="B133" s="105"/>
      <c r="C133" s="168"/>
      <c r="D133" s="83" t="s">
        <v>165</v>
      </c>
      <c r="E133" s="30">
        <v>1160</v>
      </c>
      <c r="F133" s="37">
        <v>1823500</v>
      </c>
      <c r="G133" s="4">
        <v>1892</v>
      </c>
      <c r="H133" s="17">
        <v>2951520</v>
      </c>
      <c r="I133" s="395"/>
      <c r="J133" s="17"/>
    </row>
    <row r="134" spans="1:10" s="2" customFormat="1" ht="14.25" customHeight="1" x14ac:dyDescent="0.25">
      <c r="A134" s="77"/>
      <c r="B134" s="105"/>
      <c r="C134" s="168"/>
      <c r="D134" s="83" t="s">
        <v>166</v>
      </c>
      <c r="E134" s="30">
        <f>595+345</f>
        <v>940</v>
      </c>
      <c r="F134" s="37">
        <f>935350+542350</f>
        <v>1477700</v>
      </c>
      <c r="G134" s="4">
        <v>1128</v>
      </c>
      <c r="H134" s="17">
        <v>1759680</v>
      </c>
      <c r="I134" s="395">
        <v>1054</v>
      </c>
      <c r="J134" s="17">
        <v>1656888</v>
      </c>
    </row>
    <row r="135" spans="1:10" s="2" customFormat="1" ht="14.25" customHeight="1" x14ac:dyDescent="0.25">
      <c r="A135" s="77"/>
      <c r="B135" s="105"/>
      <c r="C135" s="168"/>
      <c r="D135" s="83" t="s">
        <v>167</v>
      </c>
      <c r="E135" s="30">
        <v>493</v>
      </c>
      <c r="F135" s="37">
        <v>774980</v>
      </c>
      <c r="G135" s="4">
        <v>592</v>
      </c>
      <c r="H135" s="17">
        <v>923520</v>
      </c>
      <c r="I135" s="395"/>
      <c r="J135" s="17"/>
    </row>
    <row r="136" spans="1:10" s="2" customFormat="1" ht="14.25" customHeight="1" x14ac:dyDescent="0.25">
      <c r="A136" s="77"/>
      <c r="B136" s="105"/>
      <c r="C136" s="168"/>
      <c r="D136" s="83" t="s">
        <v>168</v>
      </c>
      <c r="E136" s="30">
        <v>609</v>
      </c>
      <c r="F136" s="37">
        <v>957340</v>
      </c>
      <c r="G136" s="4">
        <v>731</v>
      </c>
      <c r="H136" s="17">
        <v>1140360</v>
      </c>
      <c r="I136" s="395"/>
      <c r="J136" s="17"/>
    </row>
    <row r="137" spans="1:10" s="2" customFormat="1" ht="14.25" customHeight="1" x14ac:dyDescent="0.25">
      <c r="A137" s="77"/>
      <c r="B137" s="105"/>
      <c r="C137" s="168"/>
      <c r="D137" s="83" t="s">
        <v>169</v>
      </c>
      <c r="E137" s="30">
        <v>909</v>
      </c>
      <c r="F137" s="37">
        <v>1428940</v>
      </c>
      <c r="G137" s="4">
        <v>1091</v>
      </c>
      <c r="H137" s="17">
        <v>1701960</v>
      </c>
      <c r="I137" s="395"/>
      <c r="J137" s="17"/>
    </row>
    <row r="138" spans="1:10" s="2" customFormat="1" ht="14.25" customHeight="1" x14ac:dyDescent="0.25">
      <c r="A138" s="77"/>
      <c r="B138" s="105"/>
      <c r="C138" s="168"/>
      <c r="D138" s="83" t="s">
        <v>170</v>
      </c>
      <c r="E138" s="30">
        <v>584</v>
      </c>
      <c r="F138" s="37">
        <v>918040</v>
      </c>
      <c r="G138" s="4">
        <v>701</v>
      </c>
      <c r="H138" s="17">
        <v>1093560</v>
      </c>
      <c r="I138" s="395"/>
      <c r="J138" s="17"/>
    </row>
    <row r="139" spans="1:10" s="2" customFormat="1" ht="14.25" customHeight="1" x14ac:dyDescent="0.25">
      <c r="A139" s="77"/>
      <c r="B139" s="105"/>
      <c r="C139" s="169"/>
      <c r="D139" s="83" t="s">
        <v>171</v>
      </c>
      <c r="E139" s="30">
        <v>670</v>
      </c>
      <c r="F139" s="37">
        <v>1053200</v>
      </c>
      <c r="G139" s="4">
        <v>804</v>
      </c>
      <c r="H139" s="17">
        <v>1254240</v>
      </c>
      <c r="I139" s="395">
        <v>1817</v>
      </c>
      <c r="J139" s="17">
        <v>2856318</v>
      </c>
    </row>
    <row r="140" spans="1:10" s="8" customFormat="1" ht="5.25" customHeight="1" x14ac:dyDescent="0.25">
      <c r="A140" s="7"/>
      <c r="B140" s="7"/>
      <c r="C140" s="7"/>
      <c r="D140" s="7"/>
      <c r="E140" s="7"/>
      <c r="F140" s="93"/>
      <c r="G140" s="7"/>
      <c r="H140" s="93"/>
      <c r="I140" s="7"/>
      <c r="J140" s="93"/>
    </row>
    <row r="141" spans="1:10" s="9" customFormat="1" ht="18.75" customHeight="1" x14ac:dyDescent="0.25">
      <c r="A141" s="926" t="s">
        <v>16</v>
      </c>
      <c r="B141" s="856" t="s">
        <v>55</v>
      </c>
      <c r="C141" s="856" t="s">
        <v>19</v>
      </c>
      <c r="D141" s="155" t="s">
        <v>81</v>
      </c>
      <c r="E141" s="161">
        <f t="shared" ref="E141:J141" si="24">E142+E146+E153+E159</f>
        <v>2585</v>
      </c>
      <c r="F141" s="158">
        <f t="shared" si="24"/>
        <v>15510000</v>
      </c>
      <c r="G141" s="161">
        <f t="shared" si="24"/>
        <v>2585</v>
      </c>
      <c r="H141" s="158">
        <f t="shared" si="24"/>
        <v>15510000</v>
      </c>
      <c r="I141" s="161">
        <f t="shared" si="24"/>
        <v>58</v>
      </c>
      <c r="J141" s="158">
        <f t="shared" si="24"/>
        <v>87000</v>
      </c>
    </row>
    <row r="142" spans="1:10" s="3" customFormat="1" ht="18.75" customHeight="1" x14ac:dyDescent="0.25">
      <c r="A142" s="927"/>
      <c r="B142" s="857"/>
      <c r="C142" s="857"/>
      <c r="D142" s="70" t="s">
        <v>79</v>
      </c>
      <c r="E142" s="70">
        <f t="shared" ref="E142:J142" si="25">SUM(E143:E145)</f>
        <v>349</v>
      </c>
      <c r="F142" s="84">
        <f t="shared" si="25"/>
        <v>2094000</v>
      </c>
      <c r="G142" s="70">
        <f t="shared" si="25"/>
        <v>349</v>
      </c>
      <c r="H142" s="84">
        <f t="shared" si="25"/>
        <v>2094000</v>
      </c>
      <c r="I142" s="70">
        <f t="shared" si="25"/>
        <v>0</v>
      </c>
      <c r="J142" s="84">
        <f t="shared" si="25"/>
        <v>0</v>
      </c>
    </row>
    <row r="143" spans="1:10" s="2" customFormat="1" ht="14.25" customHeight="1" x14ac:dyDescent="0.25">
      <c r="A143" s="18"/>
      <c r="B143" s="857"/>
      <c r="C143" s="857"/>
      <c r="D143" s="83" t="s">
        <v>150</v>
      </c>
      <c r="E143" s="383">
        <v>133</v>
      </c>
      <c r="F143" s="384">
        <f>E143*500*12</f>
        <v>798000</v>
      </c>
      <c r="G143" s="383">
        <v>133</v>
      </c>
      <c r="H143" s="17">
        <f>G143*500*12</f>
        <v>798000</v>
      </c>
      <c r="I143" s="395"/>
      <c r="J143" s="17"/>
    </row>
    <row r="144" spans="1:10" s="2" customFormat="1" ht="14.25" customHeight="1" x14ac:dyDescent="0.25">
      <c r="A144" s="972"/>
      <c r="B144" s="857"/>
      <c r="C144" s="857"/>
      <c r="D144" s="83" t="s">
        <v>151</v>
      </c>
      <c r="E144" s="383">
        <v>115</v>
      </c>
      <c r="F144" s="384">
        <f>E144*500*12</f>
        <v>690000</v>
      </c>
      <c r="G144" s="383">
        <v>115</v>
      </c>
      <c r="H144" s="17">
        <f t="shared" ref="H144:H167" si="26">G144*500*12</f>
        <v>690000</v>
      </c>
      <c r="I144" s="395"/>
      <c r="J144" s="17"/>
    </row>
    <row r="145" spans="1:10" s="2" customFormat="1" ht="14.25" customHeight="1" x14ac:dyDescent="0.25">
      <c r="A145" s="918"/>
      <c r="B145" s="168"/>
      <c r="C145" s="168"/>
      <c r="D145" s="83" t="s">
        <v>152</v>
      </c>
      <c r="E145" s="383">
        <v>101</v>
      </c>
      <c r="F145" s="384">
        <f>E145*500*12</f>
        <v>606000</v>
      </c>
      <c r="G145" s="383">
        <v>101</v>
      </c>
      <c r="H145" s="17">
        <f t="shared" si="26"/>
        <v>606000</v>
      </c>
      <c r="I145" s="395"/>
      <c r="J145" s="17"/>
    </row>
    <row r="146" spans="1:10" s="2" customFormat="1" ht="19.5" customHeight="1" x14ac:dyDescent="0.25">
      <c r="A146" s="77"/>
      <c r="B146" s="168"/>
      <c r="C146" s="168"/>
      <c r="D146" s="70" t="s">
        <v>80</v>
      </c>
      <c r="E146" s="70">
        <f t="shared" ref="E146:J146" si="27">SUM(E147:E152)</f>
        <v>724</v>
      </c>
      <c r="F146" s="84">
        <f t="shared" si="27"/>
        <v>4344000</v>
      </c>
      <c r="G146" s="70">
        <f t="shared" si="27"/>
        <v>724</v>
      </c>
      <c r="H146" s="84">
        <f t="shared" si="27"/>
        <v>4344000</v>
      </c>
      <c r="I146" s="70">
        <f t="shared" si="27"/>
        <v>24</v>
      </c>
      <c r="J146" s="84">
        <f t="shared" si="27"/>
        <v>36000</v>
      </c>
    </row>
    <row r="147" spans="1:10" s="2" customFormat="1" ht="14.25" customHeight="1" x14ac:dyDescent="0.25">
      <c r="A147" s="77"/>
      <c r="B147" s="168"/>
      <c r="C147" s="168"/>
      <c r="D147" s="83" t="s">
        <v>153</v>
      </c>
      <c r="E147" s="383">
        <v>115</v>
      </c>
      <c r="F147" s="384">
        <f t="shared" ref="F147:F152" si="28">E147*500*12</f>
        <v>690000</v>
      </c>
      <c r="G147" s="383">
        <v>115</v>
      </c>
      <c r="H147" s="17">
        <f t="shared" si="26"/>
        <v>690000</v>
      </c>
      <c r="I147" s="395"/>
      <c r="J147" s="17"/>
    </row>
    <row r="148" spans="1:10" s="2" customFormat="1" ht="14.25" customHeight="1" x14ac:dyDescent="0.25">
      <c r="A148" s="77"/>
      <c r="B148" s="168"/>
      <c r="C148" s="168"/>
      <c r="D148" s="83" t="s">
        <v>154</v>
      </c>
      <c r="E148" s="383">
        <v>126</v>
      </c>
      <c r="F148" s="384">
        <f t="shared" si="28"/>
        <v>756000</v>
      </c>
      <c r="G148" s="383">
        <v>126</v>
      </c>
      <c r="H148" s="17">
        <f t="shared" si="26"/>
        <v>756000</v>
      </c>
      <c r="I148" s="395">
        <f>23</f>
        <v>23</v>
      </c>
      <c r="J148" s="17">
        <f>34500</f>
        <v>34500</v>
      </c>
    </row>
    <row r="149" spans="1:10" s="2" customFormat="1" ht="14.25" customHeight="1" x14ac:dyDescent="0.25">
      <c r="A149" s="77"/>
      <c r="B149" s="168"/>
      <c r="C149" s="168"/>
      <c r="D149" s="83" t="s">
        <v>155</v>
      </c>
      <c r="E149" s="383">
        <v>176</v>
      </c>
      <c r="F149" s="384">
        <f t="shared" si="28"/>
        <v>1056000</v>
      </c>
      <c r="G149" s="383">
        <v>176</v>
      </c>
      <c r="H149" s="17">
        <f t="shared" si="26"/>
        <v>1056000</v>
      </c>
      <c r="I149" s="395"/>
      <c r="J149" s="17"/>
    </row>
    <row r="150" spans="1:10" s="2" customFormat="1" ht="14.25" customHeight="1" x14ac:dyDescent="0.25">
      <c r="A150" s="77"/>
      <c r="B150" s="168"/>
      <c r="C150" s="168"/>
      <c r="D150" s="83" t="s">
        <v>156</v>
      </c>
      <c r="E150" s="383">
        <v>149</v>
      </c>
      <c r="F150" s="384">
        <f t="shared" si="28"/>
        <v>894000</v>
      </c>
      <c r="G150" s="383">
        <v>149</v>
      </c>
      <c r="H150" s="17">
        <f t="shared" si="26"/>
        <v>894000</v>
      </c>
      <c r="I150" s="395"/>
      <c r="J150" s="17"/>
    </row>
    <row r="151" spans="1:10" s="2" customFormat="1" ht="14.25" customHeight="1" x14ac:dyDescent="0.25">
      <c r="A151" s="77"/>
      <c r="B151" s="168"/>
      <c r="C151" s="168"/>
      <c r="D151" s="83" t="s">
        <v>157</v>
      </c>
      <c r="E151" s="383">
        <v>88</v>
      </c>
      <c r="F151" s="384">
        <f t="shared" si="28"/>
        <v>528000</v>
      </c>
      <c r="G151" s="383">
        <v>88</v>
      </c>
      <c r="H151" s="17">
        <f t="shared" si="26"/>
        <v>528000</v>
      </c>
      <c r="I151" s="395"/>
      <c r="J151" s="17"/>
    </row>
    <row r="152" spans="1:10" s="2" customFormat="1" ht="14.25" customHeight="1" x14ac:dyDescent="0.25">
      <c r="A152" s="77"/>
      <c r="B152" s="168"/>
      <c r="C152" s="168"/>
      <c r="D152" s="83" t="s">
        <v>158</v>
      </c>
      <c r="E152" s="383">
        <v>70</v>
      </c>
      <c r="F152" s="384">
        <f t="shared" si="28"/>
        <v>420000</v>
      </c>
      <c r="G152" s="383">
        <v>70</v>
      </c>
      <c r="H152" s="17">
        <f t="shared" si="26"/>
        <v>420000</v>
      </c>
      <c r="I152" s="395">
        <f>1</f>
        <v>1</v>
      </c>
      <c r="J152" s="17">
        <f>1500</f>
        <v>1500</v>
      </c>
    </row>
    <row r="153" spans="1:10" s="2" customFormat="1" ht="20.25" customHeight="1" x14ac:dyDescent="0.25">
      <c r="A153" s="77"/>
      <c r="B153" s="168"/>
      <c r="C153" s="168"/>
      <c r="D153" s="70" t="s">
        <v>97</v>
      </c>
      <c r="E153" s="70">
        <f t="shared" ref="E153:J153" si="29">SUM(E154:E158)</f>
        <v>600</v>
      </c>
      <c r="F153" s="84">
        <f t="shared" si="29"/>
        <v>3600000</v>
      </c>
      <c r="G153" s="70">
        <f t="shared" si="29"/>
        <v>600</v>
      </c>
      <c r="H153" s="84">
        <f t="shared" si="29"/>
        <v>3600000</v>
      </c>
      <c r="I153" s="70">
        <f t="shared" si="29"/>
        <v>24</v>
      </c>
      <c r="J153" s="84">
        <f t="shared" si="29"/>
        <v>36000</v>
      </c>
    </row>
    <row r="154" spans="1:10" s="2" customFormat="1" ht="14.25" customHeight="1" x14ac:dyDescent="0.25">
      <c r="A154" s="77"/>
      <c r="B154" s="168"/>
      <c r="C154" s="168"/>
      <c r="D154" s="83" t="s">
        <v>159</v>
      </c>
      <c r="E154" s="383">
        <v>144</v>
      </c>
      <c r="F154" s="384">
        <f>E154*500*12</f>
        <v>864000</v>
      </c>
      <c r="G154" s="383">
        <v>144</v>
      </c>
      <c r="H154" s="17">
        <f t="shared" si="26"/>
        <v>864000</v>
      </c>
      <c r="I154" s="395">
        <f>15</f>
        <v>15</v>
      </c>
      <c r="J154" s="17">
        <f>22500</f>
        <v>22500</v>
      </c>
    </row>
    <row r="155" spans="1:10" s="2" customFormat="1" ht="14.25" customHeight="1" x14ac:dyDescent="0.25">
      <c r="A155" s="77"/>
      <c r="B155" s="168"/>
      <c r="C155" s="168"/>
      <c r="D155" s="83" t="s">
        <v>160</v>
      </c>
      <c r="E155" s="383">
        <v>80</v>
      </c>
      <c r="F155" s="384">
        <f>E155*500*12</f>
        <v>480000</v>
      </c>
      <c r="G155" s="383">
        <v>80</v>
      </c>
      <c r="H155" s="17">
        <f t="shared" si="26"/>
        <v>480000</v>
      </c>
      <c r="I155" s="395"/>
      <c r="J155" s="17"/>
    </row>
    <row r="156" spans="1:10" s="2" customFormat="1" ht="14.25" customHeight="1" x14ac:dyDescent="0.25">
      <c r="A156" s="77"/>
      <c r="B156" s="168"/>
      <c r="C156" s="168"/>
      <c r="D156" s="83" t="s">
        <v>161</v>
      </c>
      <c r="E156" s="383">
        <v>117</v>
      </c>
      <c r="F156" s="384">
        <f>E156*500*12</f>
        <v>702000</v>
      </c>
      <c r="G156" s="383">
        <v>117</v>
      </c>
      <c r="H156" s="17">
        <f t="shared" si="26"/>
        <v>702000</v>
      </c>
      <c r="I156" s="395">
        <f>9</f>
        <v>9</v>
      </c>
      <c r="J156" s="17">
        <f>13500</f>
        <v>13500</v>
      </c>
    </row>
    <row r="157" spans="1:10" s="2" customFormat="1" ht="14.25" customHeight="1" x14ac:dyDescent="0.25">
      <c r="A157" s="77"/>
      <c r="B157" s="168"/>
      <c r="C157" s="168"/>
      <c r="D157" s="83" t="s">
        <v>162</v>
      </c>
      <c r="E157" s="383">
        <v>156</v>
      </c>
      <c r="F157" s="384">
        <f>E157*500*12</f>
        <v>936000</v>
      </c>
      <c r="G157" s="383">
        <v>156</v>
      </c>
      <c r="H157" s="17">
        <f t="shared" si="26"/>
        <v>936000</v>
      </c>
      <c r="I157" s="395"/>
      <c r="J157" s="17"/>
    </row>
    <row r="158" spans="1:10" s="2" customFormat="1" ht="14.25" customHeight="1" x14ac:dyDescent="0.25">
      <c r="A158" s="77"/>
      <c r="B158" s="168"/>
      <c r="C158" s="168"/>
      <c r="D158" s="83" t="s">
        <v>163</v>
      </c>
      <c r="E158" s="383">
        <v>103</v>
      </c>
      <c r="F158" s="384">
        <f>E158*500*12</f>
        <v>618000</v>
      </c>
      <c r="G158" s="383">
        <v>103</v>
      </c>
      <c r="H158" s="17">
        <f t="shared" si="26"/>
        <v>618000</v>
      </c>
      <c r="I158" s="395"/>
      <c r="J158" s="17"/>
    </row>
    <row r="159" spans="1:10" s="2" customFormat="1" ht="17.25" customHeight="1" x14ac:dyDescent="0.25">
      <c r="A159" s="77"/>
      <c r="B159" s="168"/>
      <c r="C159" s="168"/>
      <c r="D159" s="70" t="s">
        <v>98</v>
      </c>
      <c r="E159" s="70">
        <f t="shared" ref="E159:J159" si="30">SUM(E160:E167)</f>
        <v>912</v>
      </c>
      <c r="F159" s="84">
        <f t="shared" si="30"/>
        <v>5472000</v>
      </c>
      <c r="G159" s="70">
        <f t="shared" si="30"/>
        <v>912</v>
      </c>
      <c r="H159" s="84">
        <f t="shared" si="30"/>
        <v>5472000</v>
      </c>
      <c r="I159" s="70">
        <f t="shared" si="30"/>
        <v>10</v>
      </c>
      <c r="J159" s="84">
        <f t="shared" si="30"/>
        <v>15000</v>
      </c>
    </row>
    <row r="160" spans="1:10" s="2" customFormat="1" ht="14.25" customHeight="1" x14ac:dyDescent="0.25">
      <c r="A160" s="77"/>
      <c r="B160" s="168"/>
      <c r="C160" s="168"/>
      <c r="D160" s="83" t="s">
        <v>164</v>
      </c>
      <c r="E160" s="383">
        <v>149</v>
      </c>
      <c r="F160" s="384">
        <f t="shared" ref="F160:F167" si="31">E160*500*12</f>
        <v>894000</v>
      </c>
      <c r="G160" s="383">
        <v>149</v>
      </c>
      <c r="H160" s="17">
        <f t="shared" si="26"/>
        <v>894000</v>
      </c>
      <c r="I160" s="395"/>
      <c r="J160" s="17"/>
    </row>
    <row r="161" spans="1:10" s="2" customFormat="1" ht="14.25" customHeight="1" x14ac:dyDescent="0.25">
      <c r="A161" s="77"/>
      <c r="B161" s="168"/>
      <c r="C161" s="168"/>
      <c r="D161" s="83" t="s">
        <v>165</v>
      </c>
      <c r="E161" s="383">
        <v>192</v>
      </c>
      <c r="F161" s="384">
        <f t="shared" si="31"/>
        <v>1152000</v>
      </c>
      <c r="G161" s="383">
        <v>192</v>
      </c>
      <c r="H161" s="17">
        <f t="shared" si="26"/>
        <v>1152000</v>
      </c>
      <c r="I161" s="395">
        <f>10</f>
        <v>10</v>
      </c>
      <c r="J161" s="17">
        <f>15000</f>
        <v>15000</v>
      </c>
    </row>
    <row r="162" spans="1:10" s="2" customFormat="1" ht="14.25" customHeight="1" x14ac:dyDescent="0.25">
      <c r="A162" s="77"/>
      <c r="B162" s="168"/>
      <c r="C162" s="168"/>
      <c r="D162" s="83" t="s">
        <v>166</v>
      </c>
      <c r="E162" s="383">
        <v>108</v>
      </c>
      <c r="F162" s="384">
        <f t="shared" si="31"/>
        <v>648000</v>
      </c>
      <c r="G162" s="383">
        <v>108</v>
      </c>
      <c r="H162" s="17">
        <f t="shared" si="26"/>
        <v>648000</v>
      </c>
      <c r="I162" s="395"/>
      <c r="J162" s="17"/>
    </row>
    <row r="163" spans="1:10" s="2" customFormat="1" ht="14.25" customHeight="1" x14ac:dyDescent="0.25">
      <c r="A163" s="77"/>
      <c r="B163" s="168"/>
      <c r="C163" s="168"/>
      <c r="D163" s="83" t="s">
        <v>167</v>
      </c>
      <c r="E163" s="383">
        <v>79</v>
      </c>
      <c r="F163" s="384">
        <f t="shared" si="31"/>
        <v>474000</v>
      </c>
      <c r="G163" s="383">
        <v>79</v>
      </c>
      <c r="H163" s="17">
        <f t="shared" si="26"/>
        <v>474000</v>
      </c>
      <c r="I163" s="395"/>
      <c r="J163" s="17"/>
    </row>
    <row r="164" spans="1:10" s="2" customFormat="1" ht="14.25" customHeight="1" x14ac:dyDescent="0.25">
      <c r="A164" s="77"/>
      <c r="B164" s="168"/>
      <c r="C164" s="168"/>
      <c r="D164" s="83" t="s">
        <v>168</v>
      </c>
      <c r="E164" s="383">
        <v>80</v>
      </c>
      <c r="F164" s="384">
        <f t="shared" si="31"/>
        <v>480000</v>
      </c>
      <c r="G164" s="383">
        <v>80</v>
      </c>
      <c r="H164" s="17">
        <f t="shared" si="26"/>
        <v>480000</v>
      </c>
      <c r="I164" s="395"/>
      <c r="J164" s="17"/>
    </row>
    <row r="165" spans="1:10" s="2" customFormat="1" ht="14.25" customHeight="1" x14ac:dyDescent="0.25">
      <c r="A165" s="77"/>
      <c r="B165" s="168"/>
      <c r="C165" s="168"/>
      <c r="D165" s="83" t="s">
        <v>169</v>
      </c>
      <c r="E165" s="383">
        <v>130</v>
      </c>
      <c r="F165" s="384">
        <f t="shared" si="31"/>
        <v>780000</v>
      </c>
      <c r="G165" s="383">
        <v>130</v>
      </c>
      <c r="H165" s="17">
        <f t="shared" si="26"/>
        <v>780000</v>
      </c>
      <c r="I165" s="395"/>
      <c r="J165" s="17"/>
    </row>
    <row r="166" spans="1:10" s="2" customFormat="1" ht="14.25" customHeight="1" x14ac:dyDescent="0.25">
      <c r="A166" s="77"/>
      <c r="B166" s="168"/>
      <c r="C166" s="168"/>
      <c r="D166" s="83" t="s">
        <v>170</v>
      </c>
      <c r="E166" s="383">
        <v>104</v>
      </c>
      <c r="F166" s="384">
        <f t="shared" si="31"/>
        <v>624000</v>
      </c>
      <c r="G166" s="383">
        <v>104</v>
      </c>
      <c r="H166" s="17">
        <f t="shared" si="26"/>
        <v>624000</v>
      </c>
      <c r="I166" s="395"/>
      <c r="J166" s="17"/>
    </row>
    <row r="167" spans="1:10" s="2" customFormat="1" ht="14.25" customHeight="1" x14ac:dyDescent="0.25">
      <c r="A167" s="77"/>
      <c r="B167" s="169"/>
      <c r="C167" s="169"/>
      <c r="D167" s="83" t="s">
        <v>171</v>
      </c>
      <c r="E167" s="383">
        <v>70</v>
      </c>
      <c r="F167" s="384">
        <f t="shared" si="31"/>
        <v>420000</v>
      </c>
      <c r="G167" s="383">
        <v>70</v>
      </c>
      <c r="H167" s="17">
        <f t="shared" si="26"/>
        <v>420000</v>
      </c>
      <c r="I167" s="395"/>
      <c r="J167" s="17"/>
    </row>
    <row r="168" spans="1:10" s="8" customFormat="1" ht="5.25" customHeight="1" x14ac:dyDescent="0.25">
      <c r="A168" s="122"/>
      <c r="B168" s="122"/>
      <c r="C168" s="122"/>
      <c r="D168" s="122"/>
      <c r="E168" s="122"/>
      <c r="F168" s="173"/>
      <c r="G168" s="122"/>
      <c r="H168" s="173"/>
      <c r="I168" s="122"/>
      <c r="J168" s="173"/>
    </row>
    <row r="169" spans="1:10" s="123" customFormat="1" ht="5.25" customHeight="1" x14ac:dyDescent="0.25">
      <c r="F169" s="174"/>
      <c r="H169" s="174"/>
      <c r="J169" s="174"/>
    </row>
    <row r="170" spans="1:10" s="123" customFormat="1" ht="5.25" customHeight="1" x14ac:dyDescent="0.25">
      <c r="F170" s="174"/>
      <c r="H170" s="174"/>
      <c r="J170" s="174"/>
    </row>
    <row r="171" spans="1:10" s="123" customFormat="1" ht="5.25" customHeight="1" x14ac:dyDescent="0.25">
      <c r="F171" s="174"/>
      <c r="H171" s="174"/>
      <c r="J171" s="174"/>
    </row>
    <row r="172" spans="1:10" s="123" customFormat="1" ht="5.25" customHeight="1" x14ac:dyDescent="0.25">
      <c r="F172" s="174"/>
      <c r="H172" s="174"/>
      <c r="J172" s="174"/>
    </row>
    <row r="173" spans="1:10" s="123" customFormat="1" ht="5.25" customHeight="1" x14ac:dyDescent="0.25">
      <c r="F173" s="174"/>
      <c r="H173" s="174"/>
      <c r="J173" s="174"/>
    </row>
    <row r="174" spans="1:10" s="123" customFormat="1" ht="5.25" customHeight="1" x14ac:dyDescent="0.25">
      <c r="F174" s="174"/>
      <c r="H174" s="174"/>
      <c r="J174" s="174"/>
    </row>
    <row r="175" spans="1:10" s="123" customFormat="1" ht="5.25" customHeight="1" x14ac:dyDescent="0.25">
      <c r="F175" s="174"/>
      <c r="H175" s="174"/>
      <c r="J175" s="174"/>
    </row>
    <row r="176" spans="1:10" s="123" customFormat="1" ht="5.25" customHeight="1" x14ac:dyDescent="0.25">
      <c r="F176" s="174"/>
      <c r="H176" s="174"/>
      <c r="J176" s="174"/>
    </row>
    <row r="177" spans="1:10" s="123" customFormat="1" ht="5.25" customHeight="1" x14ac:dyDescent="0.25">
      <c r="F177" s="174"/>
      <c r="H177" s="174"/>
      <c r="J177" s="174"/>
    </row>
    <row r="178" spans="1:10" s="123" customFormat="1" ht="5.25" customHeight="1" x14ac:dyDescent="0.25">
      <c r="F178" s="174"/>
      <c r="H178" s="174"/>
      <c r="J178" s="174"/>
    </row>
    <row r="179" spans="1:10" s="9" customFormat="1" ht="16.5" customHeight="1" x14ac:dyDescent="0.25">
      <c r="A179" s="926" t="s">
        <v>17</v>
      </c>
      <c r="B179" s="923" t="s">
        <v>56</v>
      </c>
      <c r="C179" s="926" t="s">
        <v>18</v>
      </c>
      <c r="D179" s="155" t="s">
        <v>81</v>
      </c>
      <c r="E179" s="164">
        <f t="shared" ref="E179:J179" si="32">E180+E184+E191+E197</f>
        <v>474</v>
      </c>
      <c r="F179" s="160">
        <f t="shared" si="32"/>
        <v>694175.5</v>
      </c>
      <c r="G179" s="164">
        <f t="shared" si="32"/>
        <v>0</v>
      </c>
      <c r="H179" s="160">
        <f t="shared" si="32"/>
        <v>0</v>
      </c>
      <c r="I179" s="164">
        <f t="shared" si="32"/>
        <v>161</v>
      </c>
      <c r="J179" s="160">
        <f t="shared" si="32"/>
        <v>252678.15</v>
      </c>
    </row>
    <row r="180" spans="1:10" s="3" customFormat="1" ht="21" customHeight="1" x14ac:dyDescent="0.25">
      <c r="A180" s="927"/>
      <c r="B180" s="924"/>
      <c r="C180" s="927"/>
      <c r="D180" s="70" t="s">
        <v>79</v>
      </c>
      <c r="E180" s="70">
        <f t="shared" ref="E180:J180" si="33">SUM(E181:E183)</f>
        <v>59</v>
      </c>
      <c r="F180" s="84">
        <f t="shared" si="33"/>
        <v>108698</v>
      </c>
      <c r="G180" s="70">
        <f t="shared" si="33"/>
        <v>0</v>
      </c>
      <c r="H180" s="84">
        <f t="shared" si="33"/>
        <v>0</v>
      </c>
      <c r="I180" s="70">
        <f t="shared" si="33"/>
        <v>19</v>
      </c>
      <c r="J180" s="84">
        <f t="shared" si="33"/>
        <v>29358</v>
      </c>
    </row>
    <row r="181" spans="1:10" s="2" customFormat="1" ht="14.25" customHeight="1" x14ac:dyDescent="0.25">
      <c r="A181" s="18"/>
      <c r="B181" s="924"/>
      <c r="C181" s="6"/>
      <c r="D181" s="83" t="s">
        <v>150</v>
      </c>
      <c r="E181" s="30">
        <f>1+2+8+2+1+1+6</f>
        <v>21</v>
      </c>
      <c r="F181" s="37">
        <f>1500+5250+2500+3000+8350+10000+21408</f>
        <v>52008</v>
      </c>
      <c r="G181" s="4"/>
      <c r="H181" s="17"/>
      <c r="I181" s="395">
        <f>8</f>
        <v>8</v>
      </c>
      <c r="J181" s="17">
        <f>158+16500</f>
        <v>16658</v>
      </c>
    </row>
    <row r="182" spans="1:10" s="2" customFormat="1" ht="14.25" customHeight="1" x14ac:dyDescent="0.25">
      <c r="A182" s="972"/>
      <c r="B182" s="924"/>
      <c r="C182" s="6"/>
      <c r="D182" s="83" t="s">
        <v>151</v>
      </c>
      <c r="E182" s="30">
        <f>5+1+4+6+1+2+4</f>
        <v>23</v>
      </c>
      <c r="F182" s="37">
        <f>6340+1000+6000+8100+5000+3500+8250</f>
        <v>38190</v>
      </c>
      <c r="G182" s="4"/>
      <c r="H182" s="17"/>
      <c r="I182" s="395">
        <f>5</f>
        <v>5</v>
      </c>
      <c r="J182" s="17">
        <f>6100</f>
        <v>6100</v>
      </c>
    </row>
    <row r="183" spans="1:10" s="2" customFormat="1" ht="14.25" customHeight="1" x14ac:dyDescent="0.25">
      <c r="A183" s="918"/>
      <c r="B183" s="924"/>
      <c r="C183" s="6"/>
      <c r="D183" s="83" t="s">
        <v>152</v>
      </c>
      <c r="E183" s="30">
        <f>3+4+3+1+4</f>
        <v>15</v>
      </c>
      <c r="F183" s="37">
        <f>6000+5500+2900+2000+2100</f>
        <v>18500</v>
      </c>
      <c r="G183" s="4"/>
      <c r="H183" s="17"/>
      <c r="I183" s="395">
        <f>6</f>
        <v>6</v>
      </c>
      <c r="J183" s="17">
        <f>2600+4000</f>
        <v>6600</v>
      </c>
    </row>
    <row r="184" spans="1:10" s="2" customFormat="1" ht="15.75" customHeight="1" x14ac:dyDescent="0.25">
      <c r="A184" s="77"/>
      <c r="B184" s="924"/>
      <c r="C184" s="6"/>
      <c r="D184" s="70" t="s">
        <v>80</v>
      </c>
      <c r="E184" s="70">
        <f t="shared" ref="E184:J184" si="34">SUM(E185:E190)</f>
        <v>99</v>
      </c>
      <c r="F184" s="84">
        <f t="shared" si="34"/>
        <v>133207.75</v>
      </c>
      <c r="G184" s="70">
        <f t="shared" si="34"/>
        <v>0</v>
      </c>
      <c r="H184" s="84">
        <f t="shared" si="34"/>
        <v>0</v>
      </c>
      <c r="I184" s="70">
        <f t="shared" si="34"/>
        <v>30</v>
      </c>
      <c r="J184" s="84">
        <f t="shared" si="34"/>
        <v>48200</v>
      </c>
    </row>
    <row r="185" spans="1:10" s="2" customFormat="1" ht="14.25" customHeight="1" x14ac:dyDescent="0.25">
      <c r="A185" s="77"/>
      <c r="B185" s="924"/>
      <c r="C185" s="6"/>
      <c r="D185" s="83" t="s">
        <v>153</v>
      </c>
      <c r="E185" s="30">
        <f>4+3+3+2</f>
        <v>12</v>
      </c>
      <c r="F185" s="37">
        <f>6500+1500+4500+550</f>
        <v>13050</v>
      </c>
      <c r="G185" s="4"/>
      <c r="H185" s="17"/>
      <c r="I185" s="395">
        <f>2</f>
        <v>2</v>
      </c>
      <c r="J185" s="17">
        <f>550</f>
        <v>550</v>
      </c>
    </row>
    <row r="186" spans="1:10" s="2" customFormat="1" ht="14.25" customHeight="1" x14ac:dyDescent="0.25">
      <c r="A186" s="77"/>
      <c r="B186" s="924"/>
      <c r="C186" s="6"/>
      <c r="D186" s="83" t="s">
        <v>154</v>
      </c>
      <c r="E186" s="30">
        <f>4+12+6+5+2+1+1</f>
        <v>31</v>
      </c>
      <c r="F186" s="37">
        <f>5500+13666+8500+4750+10000+2000+500</f>
        <v>44916</v>
      </c>
      <c r="G186" s="4"/>
      <c r="H186" s="17"/>
      <c r="I186" s="395">
        <f>9+5</f>
        <v>14</v>
      </c>
      <c r="J186" s="17">
        <f>21500+5000</f>
        <v>26500</v>
      </c>
    </row>
    <row r="187" spans="1:10" s="2" customFormat="1" ht="14.25" customHeight="1" x14ac:dyDescent="0.25">
      <c r="A187" s="77"/>
      <c r="B187" s="924"/>
      <c r="C187" s="6"/>
      <c r="D187" s="83" t="s">
        <v>155</v>
      </c>
      <c r="E187" s="30">
        <f>8+11+5+3+2+4</f>
        <v>33</v>
      </c>
      <c r="F187" s="37">
        <f>12500+13500+7500+3000+4000+3593.75</f>
        <v>44093.75</v>
      </c>
      <c r="G187" s="4"/>
      <c r="H187" s="17"/>
      <c r="I187" s="395">
        <f>2+3</f>
        <v>5</v>
      </c>
      <c r="J187" s="17">
        <f>3300+3250</f>
        <v>6550</v>
      </c>
    </row>
    <row r="188" spans="1:10" s="2" customFormat="1" ht="14.25" customHeight="1" x14ac:dyDescent="0.25">
      <c r="A188" s="77"/>
      <c r="B188" s="924"/>
      <c r="C188" s="6"/>
      <c r="D188" s="83" t="s">
        <v>156</v>
      </c>
      <c r="E188" s="30">
        <f>2+8+5+1</f>
        <v>16</v>
      </c>
      <c r="F188" s="37">
        <f>4500+9500+9000+1500</f>
        <v>24500</v>
      </c>
      <c r="G188" s="4"/>
      <c r="H188" s="17"/>
      <c r="I188" s="395">
        <f>5</f>
        <v>5</v>
      </c>
      <c r="J188" s="17">
        <v>7500</v>
      </c>
    </row>
    <row r="189" spans="1:10" s="2" customFormat="1" ht="14.25" customHeight="1" x14ac:dyDescent="0.25">
      <c r="A189" s="77"/>
      <c r="B189" s="924"/>
      <c r="C189" s="6"/>
      <c r="D189" s="83" t="s">
        <v>157</v>
      </c>
      <c r="E189" s="30">
        <f>1+1+1</f>
        <v>3</v>
      </c>
      <c r="F189" s="37">
        <f>1500+1000+100</f>
        <v>2600</v>
      </c>
      <c r="G189" s="4"/>
      <c r="H189" s="17"/>
      <c r="I189" s="395">
        <f>2</f>
        <v>2</v>
      </c>
      <c r="J189" s="17">
        <f>3100</f>
        <v>3100</v>
      </c>
    </row>
    <row r="190" spans="1:10" s="2" customFormat="1" ht="14.25" customHeight="1" x14ac:dyDescent="0.25">
      <c r="A190" s="77"/>
      <c r="B190" s="924"/>
      <c r="C190" s="6"/>
      <c r="D190" s="83" t="s">
        <v>158</v>
      </c>
      <c r="E190" s="30">
        <f>1+2+1</f>
        <v>4</v>
      </c>
      <c r="F190" s="37">
        <f>1000+3000+48</f>
        <v>4048</v>
      </c>
      <c r="G190" s="4"/>
      <c r="H190" s="17"/>
      <c r="I190" s="395">
        <f>2</f>
        <v>2</v>
      </c>
      <c r="J190" s="17">
        <f>4000</f>
        <v>4000</v>
      </c>
    </row>
    <row r="191" spans="1:10" s="2" customFormat="1" ht="15.75" customHeight="1" x14ac:dyDescent="0.25">
      <c r="A191" s="77"/>
      <c r="B191" s="924"/>
      <c r="C191" s="6"/>
      <c r="D191" s="70" t="s">
        <v>97</v>
      </c>
      <c r="E191" s="70">
        <f t="shared" ref="E191:J191" si="35">SUM(E192:E196)</f>
        <v>247</v>
      </c>
      <c r="F191" s="84">
        <f t="shared" si="35"/>
        <v>357213.75</v>
      </c>
      <c r="G191" s="70">
        <f t="shared" si="35"/>
        <v>0</v>
      </c>
      <c r="H191" s="84">
        <f t="shared" si="35"/>
        <v>0</v>
      </c>
      <c r="I191" s="70">
        <f t="shared" si="35"/>
        <v>91</v>
      </c>
      <c r="J191" s="84">
        <f t="shared" si="35"/>
        <v>152770</v>
      </c>
    </row>
    <row r="192" spans="1:10" s="2" customFormat="1" ht="14.25" customHeight="1" x14ac:dyDescent="0.25">
      <c r="A192" s="77"/>
      <c r="B192" s="924"/>
      <c r="C192" s="6"/>
      <c r="D192" s="83" t="s">
        <v>159</v>
      </c>
      <c r="E192" s="30">
        <f>1+4+4+6+1+3</f>
        <v>19</v>
      </c>
      <c r="F192" s="37">
        <f>500+4050+6000+6696+1500+850</f>
        <v>19596</v>
      </c>
      <c r="G192" s="4"/>
      <c r="H192" s="17"/>
      <c r="I192" s="395">
        <f>6</f>
        <v>6</v>
      </c>
      <c r="J192" s="17">
        <f>3600+2500</f>
        <v>6100</v>
      </c>
    </row>
    <row r="193" spans="1:10" s="2" customFormat="1" ht="14.25" customHeight="1" x14ac:dyDescent="0.25">
      <c r="A193" s="77"/>
      <c r="B193" s="924"/>
      <c r="C193" s="6"/>
      <c r="D193" s="83" t="s">
        <v>160</v>
      </c>
      <c r="E193" s="30">
        <f>1+8+4+4+2+6</f>
        <v>25</v>
      </c>
      <c r="F193" s="37">
        <f>3000+8250+6500+10500+3000+5293.75</f>
        <v>36543.75</v>
      </c>
      <c r="G193" s="4"/>
      <c r="H193" s="17"/>
      <c r="I193" s="395">
        <f>7</f>
        <v>7</v>
      </c>
      <c r="J193" s="17">
        <f>10050</f>
        <v>10050</v>
      </c>
    </row>
    <row r="194" spans="1:10" s="2" customFormat="1" ht="14.25" customHeight="1" x14ac:dyDescent="0.25">
      <c r="A194" s="77"/>
      <c r="B194" s="924"/>
      <c r="C194" s="6"/>
      <c r="D194" s="83" t="s">
        <v>161</v>
      </c>
      <c r="E194" s="30">
        <f>21+37+12+20+15+1+4+24</f>
        <v>134</v>
      </c>
      <c r="F194" s="37">
        <f>33700+44000+18500+20644+25500+3000+7000+27384</f>
        <v>179728</v>
      </c>
      <c r="G194" s="4"/>
      <c r="H194" s="17"/>
      <c r="I194" s="395">
        <f>27+24</f>
        <v>51</v>
      </c>
      <c r="J194" s="17">
        <f>55170+28900</f>
        <v>84070</v>
      </c>
    </row>
    <row r="195" spans="1:10" s="2" customFormat="1" ht="14.25" customHeight="1" x14ac:dyDescent="0.25">
      <c r="A195" s="77"/>
      <c r="B195" s="924"/>
      <c r="C195" s="6"/>
      <c r="D195" s="83" t="s">
        <v>162</v>
      </c>
      <c r="E195" s="30">
        <f>9+15+6+6+12+1+6+4</f>
        <v>59</v>
      </c>
      <c r="F195" s="37">
        <f>17896+18500+9500+7500+26000+10000+13000+5200</f>
        <v>107596</v>
      </c>
      <c r="G195" s="4"/>
      <c r="H195" s="17"/>
      <c r="I195" s="395">
        <f>11+14</f>
        <v>25</v>
      </c>
      <c r="J195" s="17">
        <f>24500+26550</f>
        <v>51050</v>
      </c>
    </row>
    <row r="196" spans="1:10" s="2" customFormat="1" ht="14.25" customHeight="1" x14ac:dyDescent="0.25">
      <c r="A196" s="77"/>
      <c r="B196" s="924"/>
      <c r="C196" s="6"/>
      <c r="D196" s="83" t="s">
        <v>163</v>
      </c>
      <c r="E196" s="30">
        <f>3+3+1+1+2</f>
        <v>10</v>
      </c>
      <c r="F196" s="37">
        <f>3750+5000+2000+2000+1000</f>
        <v>13750</v>
      </c>
      <c r="G196" s="4"/>
      <c r="H196" s="17"/>
      <c r="I196" s="395">
        <f>2</f>
        <v>2</v>
      </c>
      <c r="J196" s="17">
        <f>1500</f>
        <v>1500</v>
      </c>
    </row>
    <row r="197" spans="1:10" s="2" customFormat="1" ht="17.25" customHeight="1" x14ac:dyDescent="0.25">
      <c r="A197" s="77"/>
      <c r="B197" s="924"/>
      <c r="C197" s="6"/>
      <c r="D197" s="70" t="s">
        <v>98</v>
      </c>
      <c r="E197" s="70">
        <f t="shared" ref="E197:J197" si="36">SUM(E198:E205)</f>
        <v>69</v>
      </c>
      <c r="F197" s="84">
        <f t="shared" si="36"/>
        <v>95056</v>
      </c>
      <c r="G197" s="70">
        <f t="shared" si="36"/>
        <v>0</v>
      </c>
      <c r="H197" s="84">
        <f t="shared" si="36"/>
        <v>0</v>
      </c>
      <c r="I197" s="70">
        <f t="shared" si="36"/>
        <v>21</v>
      </c>
      <c r="J197" s="84">
        <f t="shared" si="36"/>
        <v>22350.15</v>
      </c>
    </row>
    <row r="198" spans="1:10" s="2" customFormat="1" ht="14.25" customHeight="1" x14ac:dyDescent="0.25">
      <c r="A198" s="77"/>
      <c r="B198" s="924"/>
      <c r="C198" s="6"/>
      <c r="D198" s="83" t="s">
        <v>164</v>
      </c>
      <c r="E198" s="30">
        <f>2+1+3+1+1+2</f>
        <v>10</v>
      </c>
      <c r="F198" s="37">
        <f>3000+250+4500+500+2000+1750</f>
        <v>12000</v>
      </c>
      <c r="G198" s="4"/>
      <c r="H198" s="17"/>
      <c r="I198" s="395">
        <f>2</f>
        <v>2</v>
      </c>
      <c r="J198" s="17">
        <f>2000</f>
        <v>2000</v>
      </c>
    </row>
    <row r="199" spans="1:10" s="2" customFormat="1" ht="14.25" customHeight="1" x14ac:dyDescent="0.25">
      <c r="A199" s="77"/>
      <c r="B199" s="924"/>
      <c r="C199" s="6"/>
      <c r="D199" s="83" t="s">
        <v>165</v>
      </c>
      <c r="E199" s="30">
        <f>3+3+2</f>
        <v>8</v>
      </c>
      <c r="F199" s="37">
        <f>5000+4500+3000</f>
        <v>12500</v>
      </c>
      <c r="G199" s="4"/>
      <c r="H199" s="17"/>
      <c r="I199" s="395">
        <f>1</f>
        <v>1</v>
      </c>
      <c r="J199" s="17">
        <f>1000</f>
        <v>1000</v>
      </c>
    </row>
    <row r="200" spans="1:10" s="2" customFormat="1" ht="14.25" customHeight="1" x14ac:dyDescent="0.25">
      <c r="A200" s="77"/>
      <c r="B200" s="924"/>
      <c r="C200" s="6"/>
      <c r="D200" s="83" t="s">
        <v>166</v>
      </c>
      <c r="E200" s="30">
        <f>3+1+3+2</f>
        <v>9</v>
      </c>
      <c r="F200" s="37">
        <f>5606+500+4500+4000</f>
        <v>14606</v>
      </c>
      <c r="G200" s="4"/>
      <c r="H200" s="17"/>
      <c r="I200" s="395">
        <f>2</f>
        <v>2</v>
      </c>
      <c r="J200" s="17">
        <f>3750</f>
        <v>3750</v>
      </c>
    </row>
    <row r="201" spans="1:10" s="2" customFormat="1" ht="14.25" customHeight="1" x14ac:dyDescent="0.25">
      <c r="A201" s="77"/>
      <c r="B201" s="924"/>
      <c r="C201" s="6"/>
      <c r="D201" s="83" t="s">
        <v>167</v>
      </c>
      <c r="E201" s="30">
        <f>1+2+1+2+2</f>
        <v>8</v>
      </c>
      <c r="F201" s="37">
        <f>2500+2500+1000+1700+1600</f>
        <v>9300</v>
      </c>
      <c r="G201" s="4"/>
      <c r="H201" s="17"/>
      <c r="I201" s="395">
        <f>3</f>
        <v>3</v>
      </c>
      <c r="J201" s="17">
        <f>200</f>
        <v>200</v>
      </c>
    </row>
    <row r="202" spans="1:10" s="2" customFormat="1" ht="14.25" customHeight="1" x14ac:dyDescent="0.25">
      <c r="A202" s="77"/>
      <c r="B202" s="924"/>
      <c r="C202" s="6"/>
      <c r="D202" s="83" t="s">
        <v>168</v>
      </c>
      <c r="E202" s="30">
        <f>1+1+4+2</f>
        <v>8</v>
      </c>
      <c r="F202" s="37">
        <f>1500+1500+7500+2500</f>
        <v>13000</v>
      </c>
      <c r="G202" s="4"/>
      <c r="H202" s="17"/>
      <c r="I202" s="395">
        <f>1</f>
        <v>1</v>
      </c>
      <c r="J202" s="17">
        <f>1000</f>
        <v>1000</v>
      </c>
    </row>
    <row r="203" spans="1:10" s="2" customFormat="1" ht="14.25" customHeight="1" x14ac:dyDescent="0.25">
      <c r="A203" s="77"/>
      <c r="B203" s="924"/>
      <c r="C203" s="6"/>
      <c r="D203" s="83" t="s">
        <v>169</v>
      </c>
      <c r="E203" s="30">
        <f>2+1+1</f>
        <v>4</v>
      </c>
      <c r="F203" s="37">
        <f>4000+2000+2000</f>
        <v>8000</v>
      </c>
      <c r="G203" s="4"/>
      <c r="H203" s="17"/>
      <c r="I203" s="395"/>
      <c r="J203" s="17"/>
    </row>
    <row r="204" spans="1:10" s="2" customFormat="1" ht="14.25" customHeight="1" x14ac:dyDescent="0.25">
      <c r="A204" s="77"/>
      <c r="B204" s="924"/>
      <c r="C204" s="6"/>
      <c r="D204" s="83" t="s">
        <v>170</v>
      </c>
      <c r="E204" s="30">
        <f>1+2+4+2+1</f>
        <v>10</v>
      </c>
      <c r="F204" s="37">
        <f>250+2500+5500+3000+100</f>
        <v>11350</v>
      </c>
      <c r="G204" s="4"/>
      <c r="H204" s="17"/>
      <c r="I204" s="395">
        <f>6</f>
        <v>6</v>
      </c>
      <c r="J204" s="17">
        <f>6100.15</f>
        <v>6100.15</v>
      </c>
    </row>
    <row r="205" spans="1:10" s="2" customFormat="1" ht="14.25" customHeight="1" x14ac:dyDescent="0.25">
      <c r="A205" s="77"/>
      <c r="B205" s="924"/>
      <c r="C205" s="6"/>
      <c r="D205" s="83" t="s">
        <v>171</v>
      </c>
      <c r="E205" s="30">
        <f>2+3+4+1+2</f>
        <v>12</v>
      </c>
      <c r="F205" s="37">
        <f>2000+4500+4500+1500+1800</f>
        <v>14300</v>
      </c>
      <c r="G205" s="4"/>
      <c r="H205" s="17"/>
      <c r="I205" s="395">
        <f>6</f>
        <v>6</v>
      </c>
      <c r="J205" s="17">
        <f>6300+2000</f>
        <v>8300</v>
      </c>
    </row>
    <row r="206" spans="1:10" s="8" customFormat="1" ht="5.25" customHeight="1" x14ac:dyDescent="0.25">
      <c r="A206" s="7"/>
      <c r="B206" s="7"/>
      <c r="C206" s="7"/>
      <c r="D206" s="7"/>
      <c r="E206" s="7"/>
      <c r="F206" s="93"/>
      <c r="G206" s="7"/>
      <c r="H206" s="93"/>
      <c r="I206" s="7"/>
      <c r="J206" s="93"/>
    </row>
    <row r="207" spans="1:10" s="9" customFormat="1" ht="20.25" customHeight="1" x14ac:dyDescent="0.25">
      <c r="A207" s="926" t="s">
        <v>23</v>
      </c>
      <c r="B207" s="831" t="s">
        <v>58</v>
      </c>
      <c r="C207" s="926" t="s">
        <v>24</v>
      </c>
      <c r="D207" s="155" t="s">
        <v>81</v>
      </c>
      <c r="E207" s="161">
        <f t="shared" ref="E207:J207" si="37">E208+E213+E220+E227</f>
        <v>28164</v>
      </c>
      <c r="F207" s="158">
        <f t="shared" si="37"/>
        <v>8310090.6200000001</v>
      </c>
      <c r="G207" s="161">
        <f t="shared" si="37"/>
        <v>0</v>
      </c>
      <c r="H207" s="158">
        <f t="shared" si="37"/>
        <v>0</v>
      </c>
      <c r="I207" s="161">
        <f t="shared" si="37"/>
        <v>0</v>
      </c>
      <c r="J207" s="158">
        <f t="shared" si="37"/>
        <v>0</v>
      </c>
    </row>
    <row r="208" spans="1:10" s="3" customFormat="1" ht="20.25" customHeight="1" x14ac:dyDescent="0.25">
      <c r="A208" s="1037"/>
      <c r="B208" s="832"/>
      <c r="C208" s="927"/>
      <c r="D208" s="70" t="s">
        <v>79</v>
      </c>
      <c r="E208" s="70">
        <f>SUM(E209:E212)</f>
        <v>1645</v>
      </c>
      <c r="F208" s="84">
        <f>SUM(F209:F212)</f>
        <v>509649.24</v>
      </c>
      <c r="G208" s="70">
        <f>SUM(G209:G211)</f>
        <v>0</v>
      </c>
      <c r="H208" s="84">
        <f>SUM(H209:H211)</f>
        <v>0</v>
      </c>
      <c r="I208" s="70">
        <f>SUM(I209:I211)</f>
        <v>0</v>
      </c>
      <c r="J208" s="84">
        <f>SUM(J209:J211)</f>
        <v>0</v>
      </c>
    </row>
    <row r="209" spans="1:10" s="2" customFormat="1" ht="14.25" customHeight="1" x14ac:dyDescent="0.25">
      <c r="A209" s="927"/>
      <c r="B209" s="832"/>
      <c r="C209" s="6"/>
      <c r="D209" s="83" t="s">
        <v>150</v>
      </c>
      <c r="E209" s="30">
        <v>200</v>
      </c>
      <c r="F209" s="37">
        <v>49730</v>
      </c>
      <c r="G209" s="4"/>
      <c r="H209" s="17"/>
      <c r="I209" s="395"/>
      <c r="J209" s="17"/>
    </row>
    <row r="210" spans="1:10" s="2" customFormat="1" ht="14.25" customHeight="1" x14ac:dyDescent="0.25">
      <c r="A210" s="972"/>
      <c r="B210" s="832"/>
      <c r="C210" s="6"/>
      <c r="D210" s="83" t="s">
        <v>151</v>
      </c>
      <c r="E210" s="30">
        <v>440</v>
      </c>
      <c r="F210" s="37">
        <v>208669.24</v>
      </c>
      <c r="G210" s="4"/>
      <c r="H210" s="17"/>
      <c r="I210" s="395"/>
      <c r="J210" s="17"/>
    </row>
    <row r="211" spans="1:10" s="2" customFormat="1" ht="14.25" customHeight="1" x14ac:dyDescent="0.25">
      <c r="A211" s="918"/>
      <c r="B211" s="832"/>
      <c r="C211" s="6"/>
      <c r="D211" s="83" t="s">
        <v>152</v>
      </c>
      <c r="E211" s="30">
        <v>5</v>
      </c>
      <c r="F211" s="37">
        <v>1250</v>
      </c>
      <c r="G211" s="4"/>
      <c r="H211" s="17"/>
      <c r="I211" s="395"/>
      <c r="J211" s="17"/>
    </row>
    <row r="212" spans="1:10" s="2" customFormat="1" ht="14.25" customHeight="1" x14ac:dyDescent="0.25">
      <c r="A212" s="103"/>
      <c r="B212" s="832"/>
      <c r="C212" s="6"/>
      <c r="D212" s="108" t="s">
        <v>217</v>
      </c>
      <c r="E212" s="79">
        <v>1000</v>
      </c>
      <c r="F212" s="81">
        <v>250000</v>
      </c>
      <c r="G212" s="27"/>
      <c r="H212" s="82"/>
      <c r="I212" s="409"/>
      <c r="J212" s="82"/>
    </row>
    <row r="213" spans="1:10" s="2" customFormat="1" ht="15.75" customHeight="1" x14ac:dyDescent="0.25">
      <c r="A213" s="77"/>
      <c r="B213" s="832"/>
      <c r="C213" s="6"/>
      <c r="D213" s="70" t="s">
        <v>80</v>
      </c>
      <c r="E213" s="70">
        <f t="shared" ref="E213:J213" si="38">SUM(E214:E219)</f>
        <v>3471</v>
      </c>
      <c r="F213" s="84">
        <f t="shared" si="38"/>
        <v>1038648.5000000001</v>
      </c>
      <c r="G213" s="70">
        <f t="shared" si="38"/>
        <v>0</v>
      </c>
      <c r="H213" s="84">
        <f t="shared" si="38"/>
        <v>0</v>
      </c>
      <c r="I213" s="70">
        <f t="shared" si="38"/>
        <v>0</v>
      </c>
      <c r="J213" s="84">
        <f t="shared" si="38"/>
        <v>0</v>
      </c>
    </row>
    <row r="214" spans="1:10" s="2" customFormat="1" ht="14.25" customHeight="1" x14ac:dyDescent="0.25">
      <c r="A214" s="77"/>
      <c r="B214" s="85"/>
      <c r="C214" s="6"/>
      <c r="D214" s="83" t="s">
        <v>153</v>
      </c>
      <c r="E214" s="30">
        <v>46</v>
      </c>
      <c r="F214" s="37">
        <v>11587.68</v>
      </c>
      <c r="G214" s="4"/>
      <c r="H214" s="17"/>
      <c r="I214" s="395"/>
      <c r="J214" s="17"/>
    </row>
    <row r="215" spans="1:10" s="2" customFormat="1" ht="14.25" customHeight="1" x14ac:dyDescent="0.25">
      <c r="A215" s="77"/>
      <c r="B215" s="85"/>
      <c r="C215" s="6"/>
      <c r="D215" s="83" t="s">
        <v>154</v>
      </c>
      <c r="E215" s="30">
        <v>2000</v>
      </c>
      <c r="F215" s="37">
        <v>606998.56000000006</v>
      </c>
      <c r="G215" s="4"/>
      <c r="H215" s="17"/>
      <c r="I215" s="395"/>
      <c r="J215" s="17"/>
    </row>
    <row r="216" spans="1:10" s="2" customFormat="1" ht="14.25" customHeight="1" x14ac:dyDescent="0.25">
      <c r="A216" s="77"/>
      <c r="B216" s="85"/>
      <c r="C216" s="6"/>
      <c r="D216" s="83" t="s">
        <v>155</v>
      </c>
      <c r="E216" s="30">
        <v>1000</v>
      </c>
      <c r="F216" s="37">
        <v>313376.14</v>
      </c>
      <c r="G216" s="4"/>
      <c r="H216" s="17"/>
      <c r="I216" s="395"/>
      <c r="J216" s="17"/>
    </row>
    <row r="217" spans="1:10" s="2" customFormat="1" ht="14.25" customHeight="1" x14ac:dyDescent="0.25">
      <c r="A217" s="77"/>
      <c r="B217" s="85"/>
      <c r="C217" s="6"/>
      <c r="D217" s="83" t="s">
        <v>156</v>
      </c>
      <c r="E217" s="30">
        <v>71</v>
      </c>
      <c r="F217" s="37">
        <v>17960.78</v>
      </c>
      <c r="G217" s="4"/>
      <c r="H217" s="17"/>
      <c r="I217" s="395"/>
      <c r="J217" s="17"/>
    </row>
    <row r="218" spans="1:10" s="2" customFormat="1" ht="14.25" customHeight="1" x14ac:dyDescent="0.25">
      <c r="A218" s="77"/>
      <c r="B218" s="85"/>
      <c r="C218" s="6"/>
      <c r="D218" s="83" t="s">
        <v>157</v>
      </c>
      <c r="E218" s="30">
        <v>249</v>
      </c>
      <c r="F218" s="37">
        <v>62251.34</v>
      </c>
      <c r="G218" s="4"/>
      <c r="H218" s="17"/>
      <c r="I218" s="395"/>
      <c r="J218" s="17"/>
    </row>
    <row r="219" spans="1:10" s="2" customFormat="1" ht="14.25" customHeight="1" x14ac:dyDescent="0.25">
      <c r="A219" s="77"/>
      <c r="B219" s="85"/>
      <c r="C219" s="6"/>
      <c r="D219" s="83" t="s">
        <v>158</v>
      </c>
      <c r="E219" s="30">
        <v>105</v>
      </c>
      <c r="F219" s="37">
        <v>26474</v>
      </c>
      <c r="G219" s="4"/>
      <c r="H219" s="17"/>
      <c r="I219" s="395"/>
      <c r="J219" s="17"/>
    </row>
    <row r="220" spans="1:10" s="2" customFormat="1" ht="15.75" customHeight="1" x14ac:dyDescent="0.25">
      <c r="A220" s="77"/>
      <c r="B220" s="85"/>
      <c r="C220" s="6"/>
      <c r="D220" s="70" t="s">
        <v>97</v>
      </c>
      <c r="E220" s="70">
        <f>SUM(E221:E226)</f>
        <v>3913</v>
      </c>
      <c r="F220" s="84">
        <f>SUM(F221:F226)</f>
        <v>1101750.97</v>
      </c>
      <c r="G220" s="70">
        <f>SUM(G221:G225)</f>
        <v>0</v>
      </c>
      <c r="H220" s="84">
        <f>SUM(H221:H225)</f>
        <v>0</v>
      </c>
      <c r="I220" s="70">
        <f>SUM(I221:I225)</f>
        <v>0</v>
      </c>
      <c r="J220" s="84">
        <f>SUM(J221:J225)</f>
        <v>0</v>
      </c>
    </row>
    <row r="221" spans="1:10" s="2" customFormat="1" ht="14.25" customHeight="1" x14ac:dyDescent="0.25">
      <c r="A221" s="77"/>
      <c r="B221" s="85"/>
      <c r="C221" s="6"/>
      <c r="D221" s="83" t="s">
        <v>159</v>
      </c>
      <c r="E221" s="30">
        <v>190</v>
      </c>
      <c r="F221" s="37">
        <v>87529.600000000006</v>
      </c>
      <c r="G221" s="4"/>
      <c r="H221" s="17"/>
      <c r="I221" s="395"/>
      <c r="J221" s="17"/>
    </row>
    <row r="222" spans="1:10" s="2" customFormat="1" ht="14.25" customHeight="1" x14ac:dyDescent="0.25">
      <c r="A222" s="77"/>
      <c r="B222" s="85"/>
      <c r="C222" s="6"/>
      <c r="D222" s="83" t="s">
        <v>160</v>
      </c>
      <c r="E222" s="30">
        <v>500</v>
      </c>
      <c r="F222" s="37">
        <v>136909.56</v>
      </c>
      <c r="G222" s="4"/>
      <c r="H222" s="17"/>
      <c r="I222" s="395"/>
      <c r="J222" s="17"/>
    </row>
    <row r="223" spans="1:10" s="2" customFormat="1" ht="14.25" customHeight="1" x14ac:dyDescent="0.25">
      <c r="A223" s="77"/>
      <c r="B223" s="85"/>
      <c r="C223" s="6"/>
      <c r="D223" s="83" t="s">
        <v>161</v>
      </c>
      <c r="E223" s="30">
        <v>633</v>
      </c>
      <c r="F223" s="37">
        <v>229206.31</v>
      </c>
      <c r="G223" s="4"/>
      <c r="H223" s="17"/>
      <c r="I223" s="395"/>
      <c r="J223" s="17"/>
    </row>
    <row r="224" spans="1:10" s="2" customFormat="1" ht="14.25" customHeight="1" x14ac:dyDescent="0.25">
      <c r="A224" s="77"/>
      <c r="B224" s="85"/>
      <c r="C224" s="6"/>
      <c r="D224" s="83" t="s">
        <v>162</v>
      </c>
      <c r="E224" s="30">
        <v>1590</v>
      </c>
      <c r="F224" s="37">
        <v>398105.5</v>
      </c>
      <c r="G224" s="4"/>
      <c r="H224" s="17"/>
      <c r="I224" s="395"/>
      <c r="J224" s="17"/>
    </row>
    <row r="225" spans="1:10" s="2" customFormat="1" ht="14.25" customHeight="1" x14ac:dyDescent="0.25">
      <c r="A225" s="77"/>
      <c r="B225" s="85"/>
      <c r="C225" s="6"/>
      <c r="D225" s="86" t="s">
        <v>163</v>
      </c>
      <c r="E225" s="30"/>
      <c r="F225" s="37"/>
      <c r="G225" s="4"/>
      <c r="H225" s="17"/>
      <c r="I225" s="395"/>
      <c r="J225" s="17"/>
    </row>
    <row r="226" spans="1:10" s="2" customFormat="1" ht="14.25" customHeight="1" x14ac:dyDescent="0.25">
      <c r="A226" s="103"/>
      <c r="B226" s="85"/>
      <c r="C226" s="6"/>
      <c r="D226" s="108" t="s">
        <v>218</v>
      </c>
      <c r="E226" s="79">
        <v>1000</v>
      </c>
      <c r="F226" s="81">
        <v>250000</v>
      </c>
      <c r="G226" s="27"/>
      <c r="H226" s="82"/>
      <c r="I226" s="409"/>
      <c r="J226" s="82"/>
    </row>
    <row r="227" spans="1:10" s="2" customFormat="1" ht="17.25" customHeight="1" x14ac:dyDescent="0.25">
      <c r="A227" s="77"/>
      <c r="B227" s="85"/>
      <c r="C227" s="6"/>
      <c r="D227" s="70" t="s">
        <v>98</v>
      </c>
      <c r="E227" s="70">
        <f>SUM(E228:E236)</f>
        <v>19135</v>
      </c>
      <c r="F227" s="84">
        <f>SUM(F228:F236)</f>
        <v>5660041.9100000001</v>
      </c>
      <c r="G227" s="70">
        <f>SUM(G228:G235)</f>
        <v>0</v>
      </c>
      <c r="H227" s="84">
        <f>SUM(H228:H235)</f>
        <v>0</v>
      </c>
      <c r="I227" s="70">
        <f>SUM(I228:I235)</f>
        <v>0</v>
      </c>
      <c r="J227" s="84">
        <f>SUM(J228:J235)</f>
        <v>0</v>
      </c>
    </row>
    <row r="228" spans="1:10" s="2" customFormat="1" ht="14.25" customHeight="1" x14ac:dyDescent="0.25">
      <c r="A228" s="77"/>
      <c r="B228" s="85"/>
      <c r="C228" s="6"/>
      <c r="D228" s="83" t="s">
        <v>164</v>
      </c>
      <c r="E228" s="30">
        <v>1185</v>
      </c>
      <c r="F228" s="37">
        <v>348120.45</v>
      </c>
      <c r="G228" s="4"/>
      <c r="H228" s="17"/>
      <c r="I228" s="395"/>
      <c r="J228" s="17"/>
    </row>
    <row r="229" spans="1:10" s="2" customFormat="1" ht="14.25" customHeight="1" x14ac:dyDescent="0.25">
      <c r="A229" s="77"/>
      <c r="B229" s="85"/>
      <c r="C229" s="6"/>
      <c r="D229" s="83" t="s">
        <v>165</v>
      </c>
      <c r="E229" s="30">
        <v>3000</v>
      </c>
      <c r="F229" s="37">
        <v>784283</v>
      </c>
      <c r="G229" s="4"/>
      <c r="H229" s="17"/>
      <c r="I229" s="395"/>
      <c r="J229" s="17"/>
    </row>
    <row r="230" spans="1:10" s="2" customFormat="1" ht="14.25" customHeight="1" x14ac:dyDescent="0.25">
      <c r="A230" s="77"/>
      <c r="B230" s="85"/>
      <c r="C230" s="6"/>
      <c r="D230" s="83" t="s">
        <v>166</v>
      </c>
      <c r="E230" s="30">
        <v>2000</v>
      </c>
      <c r="F230" s="37">
        <v>682923.92</v>
      </c>
      <c r="G230" s="4"/>
      <c r="H230" s="17"/>
      <c r="I230" s="395"/>
      <c r="J230" s="17"/>
    </row>
    <row r="231" spans="1:10" s="2" customFormat="1" ht="14.25" customHeight="1" x14ac:dyDescent="0.25">
      <c r="A231" s="77"/>
      <c r="B231" s="85"/>
      <c r="C231" s="6"/>
      <c r="D231" s="83" t="s">
        <v>167</v>
      </c>
      <c r="E231" s="30">
        <v>2500</v>
      </c>
      <c r="F231" s="37">
        <v>766250.82</v>
      </c>
      <c r="G231" s="4"/>
      <c r="H231" s="17"/>
      <c r="I231" s="395"/>
      <c r="J231" s="17"/>
    </row>
    <row r="232" spans="1:10" s="2" customFormat="1" ht="14.25" customHeight="1" x14ac:dyDescent="0.25">
      <c r="A232" s="77"/>
      <c r="B232" s="85"/>
      <c r="C232" s="6"/>
      <c r="D232" s="83" t="s">
        <v>168</v>
      </c>
      <c r="E232" s="30">
        <v>2000</v>
      </c>
      <c r="F232" s="37">
        <v>753852.48</v>
      </c>
      <c r="G232" s="4"/>
      <c r="H232" s="17"/>
      <c r="I232" s="395"/>
      <c r="J232" s="17"/>
    </row>
    <row r="233" spans="1:10" s="2" customFormat="1" ht="14.25" customHeight="1" x14ac:dyDescent="0.25">
      <c r="A233" s="77"/>
      <c r="B233" s="85"/>
      <c r="C233" s="6"/>
      <c r="D233" s="83" t="s">
        <v>169</v>
      </c>
      <c r="E233" s="30"/>
      <c r="F233" s="37"/>
      <c r="G233" s="4"/>
      <c r="H233" s="17"/>
      <c r="I233" s="395"/>
      <c r="J233" s="17"/>
    </row>
    <row r="234" spans="1:10" s="2" customFormat="1" ht="14.25" customHeight="1" x14ac:dyDescent="0.25">
      <c r="A234" s="77"/>
      <c r="B234" s="85"/>
      <c r="C234" s="6"/>
      <c r="D234" s="83" t="s">
        <v>170</v>
      </c>
      <c r="E234" s="30">
        <v>2000</v>
      </c>
      <c r="F234" s="37">
        <v>549094</v>
      </c>
      <c r="G234" s="4"/>
      <c r="H234" s="17"/>
      <c r="I234" s="395"/>
      <c r="J234" s="17"/>
    </row>
    <row r="235" spans="1:10" s="2" customFormat="1" ht="14.25" customHeight="1" x14ac:dyDescent="0.25">
      <c r="A235" s="77"/>
      <c r="B235" s="85"/>
      <c r="C235" s="6"/>
      <c r="D235" s="83" t="s">
        <v>171</v>
      </c>
      <c r="E235" s="30">
        <v>4450</v>
      </c>
      <c r="F235" s="37">
        <v>1281267.24</v>
      </c>
      <c r="G235" s="4"/>
      <c r="H235" s="17"/>
      <c r="I235" s="395"/>
      <c r="J235" s="17"/>
    </row>
    <row r="236" spans="1:10" s="2" customFormat="1" ht="14.25" customHeight="1" x14ac:dyDescent="0.25">
      <c r="A236" s="103"/>
      <c r="B236" s="85"/>
      <c r="C236" s="6"/>
      <c r="D236" s="108" t="s">
        <v>219</v>
      </c>
      <c r="E236" s="30">
        <v>2000</v>
      </c>
      <c r="F236" s="37">
        <v>494250</v>
      </c>
      <c r="G236" s="4"/>
      <c r="H236" s="17"/>
      <c r="I236" s="395"/>
      <c r="J236" s="17"/>
    </row>
    <row r="237" spans="1:10" s="8" customFormat="1" ht="5.25" customHeight="1" x14ac:dyDescent="0.25">
      <c r="A237" s="7"/>
      <c r="B237" s="7"/>
      <c r="C237" s="7"/>
      <c r="D237" s="7"/>
      <c r="E237" s="7"/>
      <c r="F237" s="93"/>
      <c r="G237" s="7"/>
      <c r="H237" s="93"/>
      <c r="I237" s="7"/>
      <c r="J237" s="93"/>
    </row>
    <row r="238" spans="1:10" s="9" customFormat="1" ht="30" customHeight="1" x14ac:dyDescent="0.25">
      <c r="A238" s="54" t="s">
        <v>63</v>
      </c>
      <c r="B238" s="831" t="s">
        <v>64</v>
      </c>
      <c r="C238" s="6" t="s">
        <v>65</v>
      </c>
      <c r="D238" s="155" t="s">
        <v>81</v>
      </c>
      <c r="E238" s="161" t="e">
        <f>SUM(#REF!)</f>
        <v>#REF!</v>
      </c>
      <c r="F238" s="158" t="e">
        <f>SUM(#REF!)</f>
        <v>#REF!</v>
      </c>
      <c r="G238" s="63" t="e">
        <f>#REF!+#REF!</f>
        <v>#REF!</v>
      </c>
      <c r="H238" s="78" t="e">
        <f>#REF!+#REF!</f>
        <v>#REF!</v>
      </c>
      <c r="I238" s="63" t="e">
        <f>#REF!+#REF!</f>
        <v>#REF!</v>
      </c>
      <c r="J238" s="78" t="e">
        <f>#REF!+#REF!</f>
        <v>#REF!</v>
      </c>
    </row>
    <row r="239" spans="1:10" s="3" customFormat="1" ht="27.75" customHeight="1" x14ac:dyDescent="0.25">
      <c r="A239" s="6"/>
      <c r="B239" s="879"/>
      <c r="C239" s="6"/>
      <c r="D239" s="70" t="s">
        <v>79</v>
      </c>
      <c r="E239" s="70">
        <f t="shared" ref="E239:J239" si="39">SUM(E240:E242)</f>
        <v>0</v>
      </c>
      <c r="F239" s="84">
        <f t="shared" si="39"/>
        <v>0</v>
      </c>
      <c r="G239" s="70">
        <f t="shared" si="39"/>
        <v>0</v>
      </c>
      <c r="H239" s="84">
        <f t="shared" si="39"/>
        <v>0</v>
      </c>
      <c r="I239" s="70">
        <f t="shared" si="39"/>
        <v>0</v>
      </c>
      <c r="J239" s="84">
        <f t="shared" si="39"/>
        <v>0</v>
      </c>
    </row>
    <row r="240" spans="1:10" s="2" customFormat="1" ht="14.25" customHeight="1" x14ac:dyDescent="0.25">
      <c r="A240" s="18"/>
      <c r="B240" s="879"/>
      <c r="C240" s="6"/>
      <c r="D240" s="83" t="s">
        <v>150</v>
      </c>
      <c r="E240" s="30"/>
      <c r="F240" s="37"/>
      <c r="G240" s="4"/>
      <c r="H240" s="17"/>
      <c r="I240" s="395"/>
      <c r="J240" s="17"/>
    </row>
    <row r="241" spans="1:10" s="2" customFormat="1" ht="14.25" customHeight="1" x14ac:dyDescent="0.25">
      <c r="A241" s="972"/>
      <c r="B241" s="879"/>
      <c r="C241" s="6"/>
      <c r="D241" s="83" t="s">
        <v>151</v>
      </c>
      <c r="E241" s="30"/>
      <c r="F241" s="37"/>
      <c r="G241" s="4"/>
      <c r="H241" s="17"/>
      <c r="I241" s="395"/>
      <c r="J241" s="17"/>
    </row>
    <row r="242" spans="1:10" s="2" customFormat="1" ht="14.25" customHeight="1" x14ac:dyDescent="0.25">
      <c r="A242" s="918"/>
      <c r="B242" s="879"/>
      <c r="C242" s="6"/>
      <c r="D242" s="83" t="s">
        <v>152</v>
      </c>
      <c r="E242" s="30"/>
      <c r="F242" s="37"/>
      <c r="G242" s="4"/>
      <c r="H242" s="17"/>
      <c r="I242" s="395"/>
      <c r="J242" s="17"/>
    </row>
    <row r="243" spans="1:10" s="2" customFormat="1" ht="24" customHeight="1" x14ac:dyDescent="0.25">
      <c r="A243" s="77"/>
      <c r="B243" s="879"/>
      <c r="C243" s="6"/>
      <c r="D243" s="70" t="s">
        <v>80</v>
      </c>
      <c r="E243" s="70">
        <f t="shared" ref="E243:J243" si="40">SUM(E244:E249)</f>
        <v>0</v>
      </c>
      <c r="F243" s="84">
        <f t="shared" si="40"/>
        <v>0</v>
      </c>
      <c r="G243" s="70">
        <f t="shared" si="40"/>
        <v>0</v>
      </c>
      <c r="H243" s="84">
        <f t="shared" si="40"/>
        <v>0</v>
      </c>
      <c r="I243" s="70">
        <f t="shared" si="40"/>
        <v>0</v>
      </c>
      <c r="J243" s="84">
        <f t="shared" si="40"/>
        <v>0</v>
      </c>
    </row>
    <row r="244" spans="1:10" s="2" customFormat="1" ht="14.25" customHeight="1" x14ac:dyDescent="0.25">
      <c r="A244" s="77"/>
      <c r="B244" s="879"/>
      <c r="C244" s="6"/>
      <c r="D244" s="83" t="s">
        <v>153</v>
      </c>
      <c r="E244" s="30"/>
      <c r="F244" s="37"/>
      <c r="G244" s="4"/>
      <c r="H244" s="17"/>
      <c r="I244" s="395"/>
      <c r="J244" s="17"/>
    </row>
    <row r="245" spans="1:10" s="2" customFormat="1" ht="14.25" customHeight="1" x14ac:dyDescent="0.25">
      <c r="A245" s="77"/>
      <c r="B245" s="879"/>
      <c r="C245" s="6"/>
      <c r="D245" s="83" t="s">
        <v>154</v>
      </c>
      <c r="E245" s="30"/>
      <c r="F245" s="37"/>
      <c r="G245" s="4"/>
      <c r="H245" s="17"/>
      <c r="I245" s="395"/>
      <c r="J245" s="17"/>
    </row>
    <row r="246" spans="1:10" s="2" customFormat="1" ht="14.25" customHeight="1" x14ac:dyDescent="0.25">
      <c r="A246" s="77"/>
      <c r="B246" s="879"/>
      <c r="C246" s="6"/>
      <c r="D246" s="83" t="s">
        <v>155</v>
      </c>
      <c r="E246" s="30"/>
      <c r="F246" s="37"/>
      <c r="G246" s="4"/>
      <c r="H246" s="17"/>
      <c r="I246" s="395"/>
      <c r="J246" s="17"/>
    </row>
    <row r="247" spans="1:10" s="2" customFormat="1" ht="14.25" customHeight="1" x14ac:dyDescent="0.25">
      <c r="A247" s="77"/>
      <c r="B247" s="879"/>
      <c r="C247" s="6"/>
      <c r="D247" s="83" t="s">
        <v>156</v>
      </c>
      <c r="E247" s="30"/>
      <c r="F247" s="37"/>
      <c r="G247" s="4"/>
      <c r="H247" s="17"/>
      <c r="I247" s="395"/>
      <c r="J247" s="17"/>
    </row>
    <row r="248" spans="1:10" s="2" customFormat="1" ht="14.25" customHeight="1" x14ac:dyDescent="0.25">
      <c r="A248" s="77"/>
      <c r="B248" s="879"/>
      <c r="C248" s="6"/>
      <c r="D248" s="83" t="s">
        <v>157</v>
      </c>
      <c r="E248" s="30"/>
      <c r="F248" s="37"/>
      <c r="G248" s="4"/>
      <c r="H248" s="17"/>
      <c r="I248" s="395"/>
      <c r="J248" s="17"/>
    </row>
    <row r="249" spans="1:10" s="2" customFormat="1" ht="14.25" customHeight="1" x14ac:dyDescent="0.25">
      <c r="A249" s="77"/>
      <c r="B249" s="879"/>
      <c r="C249" s="6"/>
      <c r="D249" s="83" t="s">
        <v>158</v>
      </c>
      <c r="E249" s="30"/>
      <c r="F249" s="37"/>
      <c r="G249" s="4"/>
      <c r="H249" s="17"/>
      <c r="I249" s="395"/>
      <c r="J249" s="17"/>
    </row>
    <row r="250" spans="1:10" s="2" customFormat="1" ht="24" customHeight="1" x14ac:dyDescent="0.25">
      <c r="A250" s="77"/>
      <c r="B250" s="879"/>
      <c r="C250" s="6"/>
      <c r="D250" s="70" t="s">
        <v>97</v>
      </c>
      <c r="E250" s="70">
        <f t="shared" ref="E250:J250" si="41">SUM(E251:E255)</f>
        <v>0</v>
      </c>
      <c r="F250" s="84">
        <f t="shared" si="41"/>
        <v>0</v>
      </c>
      <c r="G250" s="70">
        <f t="shared" si="41"/>
        <v>0</v>
      </c>
      <c r="H250" s="84">
        <f t="shared" si="41"/>
        <v>0</v>
      </c>
      <c r="I250" s="70">
        <f t="shared" si="41"/>
        <v>0</v>
      </c>
      <c r="J250" s="84">
        <f t="shared" si="41"/>
        <v>0</v>
      </c>
    </row>
    <row r="251" spans="1:10" s="2" customFormat="1" ht="14.25" customHeight="1" x14ac:dyDescent="0.25">
      <c r="A251" s="77"/>
      <c r="B251" s="879"/>
      <c r="C251" s="6"/>
      <c r="D251" s="83" t="s">
        <v>159</v>
      </c>
      <c r="E251" s="30"/>
      <c r="F251" s="37"/>
      <c r="G251" s="4"/>
      <c r="H251" s="17"/>
      <c r="I251" s="395"/>
      <c r="J251" s="17"/>
    </row>
    <row r="252" spans="1:10" s="2" customFormat="1" ht="14.25" customHeight="1" x14ac:dyDescent="0.25">
      <c r="A252" s="77"/>
      <c r="B252" s="879"/>
      <c r="C252" s="6"/>
      <c r="D252" s="83" t="s">
        <v>160</v>
      </c>
      <c r="E252" s="30"/>
      <c r="F252" s="37"/>
      <c r="G252" s="4"/>
      <c r="H252" s="17"/>
      <c r="I252" s="395"/>
      <c r="J252" s="17"/>
    </row>
    <row r="253" spans="1:10" s="2" customFormat="1" ht="14.25" customHeight="1" x14ac:dyDescent="0.25">
      <c r="A253" s="77"/>
      <c r="B253" s="879"/>
      <c r="C253" s="6"/>
      <c r="D253" s="83" t="s">
        <v>161</v>
      </c>
      <c r="E253" s="30"/>
      <c r="F253" s="37"/>
      <c r="G253" s="4"/>
      <c r="H253" s="17"/>
      <c r="I253" s="395"/>
      <c r="J253" s="17"/>
    </row>
    <row r="254" spans="1:10" s="2" customFormat="1" ht="14.25" customHeight="1" x14ac:dyDescent="0.25">
      <c r="A254" s="77"/>
      <c r="B254" s="879"/>
      <c r="C254" s="6"/>
      <c r="D254" s="83" t="s">
        <v>162</v>
      </c>
      <c r="E254" s="30"/>
      <c r="F254" s="37"/>
      <c r="G254" s="4"/>
      <c r="H254" s="17"/>
      <c r="I254" s="395"/>
      <c r="J254" s="17"/>
    </row>
    <row r="255" spans="1:10" s="2" customFormat="1" ht="14.25" customHeight="1" x14ac:dyDescent="0.25">
      <c r="A255" s="77"/>
      <c r="B255" s="879"/>
      <c r="C255" s="6"/>
      <c r="D255" s="86" t="s">
        <v>163</v>
      </c>
      <c r="E255" s="30"/>
      <c r="F255" s="37"/>
      <c r="G255" s="4"/>
      <c r="H255" s="17"/>
      <c r="I255" s="395"/>
      <c r="J255" s="17"/>
    </row>
    <row r="256" spans="1:10" s="2" customFormat="1" ht="24" customHeight="1" x14ac:dyDescent="0.25">
      <c r="A256" s="77"/>
      <c r="B256" s="879"/>
      <c r="C256" s="6"/>
      <c r="D256" s="70" t="s">
        <v>98</v>
      </c>
      <c r="E256" s="70">
        <f t="shared" ref="E256:J256" si="42">SUM(E257:E264)</f>
        <v>0</v>
      </c>
      <c r="F256" s="84">
        <f t="shared" si="42"/>
        <v>0</v>
      </c>
      <c r="G256" s="70">
        <f t="shared" si="42"/>
        <v>0</v>
      </c>
      <c r="H256" s="84">
        <f t="shared" si="42"/>
        <v>0</v>
      </c>
      <c r="I256" s="70">
        <f t="shared" si="42"/>
        <v>0</v>
      </c>
      <c r="J256" s="84">
        <f t="shared" si="42"/>
        <v>0</v>
      </c>
    </row>
    <row r="257" spans="1:10" s="2" customFormat="1" ht="14.25" customHeight="1" x14ac:dyDescent="0.25">
      <c r="A257" s="77"/>
      <c r="B257" s="879"/>
      <c r="C257" s="6"/>
      <c r="D257" s="83" t="s">
        <v>164</v>
      </c>
      <c r="E257" s="30"/>
      <c r="F257" s="37"/>
      <c r="G257" s="4"/>
      <c r="H257" s="17"/>
      <c r="I257" s="395"/>
      <c r="J257" s="17"/>
    </row>
    <row r="258" spans="1:10" s="2" customFormat="1" ht="14.25" customHeight="1" x14ac:dyDescent="0.25">
      <c r="A258" s="77"/>
      <c r="B258" s="879"/>
      <c r="C258" s="6"/>
      <c r="D258" s="83" t="s">
        <v>165</v>
      </c>
      <c r="E258" s="30"/>
      <c r="F258" s="37"/>
      <c r="G258" s="4"/>
      <c r="H258" s="17"/>
      <c r="I258" s="395"/>
      <c r="J258" s="17"/>
    </row>
    <row r="259" spans="1:10" s="2" customFormat="1" ht="14.25" customHeight="1" x14ac:dyDescent="0.25">
      <c r="A259" s="77"/>
      <c r="B259" s="879"/>
      <c r="C259" s="6"/>
      <c r="D259" s="83" t="s">
        <v>166</v>
      </c>
      <c r="E259" s="30"/>
      <c r="F259" s="37"/>
      <c r="G259" s="4"/>
      <c r="H259" s="17"/>
      <c r="I259" s="395"/>
      <c r="J259" s="17"/>
    </row>
    <row r="260" spans="1:10" s="2" customFormat="1" ht="14.25" customHeight="1" x14ac:dyDescent="0.25">
      <c r="A260" s="77"/>
      <c r="B260" s="879"/>
      <c r="C260" s="6"/>
      <c r="D260" s="83" t="s">
        <v>167</v>
      </c>
      <c r="E260" s="30"/>
      <c r="F260" s="37"/>
      <c r="G260" s="4"/>
      <c r="H260" s="17"/>
      <c r="I260" s="395"/>
      <c r="J260" s="17"/>
    </row>
    <row r="261" spans="1:10" s="2" customFormat="1" ht="14.25" customHeight="1" x14ac:dyDescent="0.25">
      <c r="A261" s="77"/>
      <c r="B261" s="879"/>
      <c r="C261" s="6"/>
      <c r="D261" s="83" t="s">
        <v>168</v>
      </c>
      <c r="E261" s="30"/>
      <c r="F261" s="37"/>
      <c r="G261" s="4"/>
      <c r="H261" s="17"/>
      <c r="I261" s="395"/>
      <c r="J261" s="17"/>
    </row>
    <row r="262" spans="1:10" s="2" customFormat="1" ht="14.25" customHeight="1" x14ac:dyDescent="0.25">
      <c r="A262" s="77"/>
      <c r="B262" s="879"/>
      <c r="C262" s="6"/>
      <c r="D262" s="83" t="s">
        <v>169</v>
      </c>
      <c r="E262" s="30"/>
      <c r="F262" s="37"/>
      <c r="G262" s="4"/>
      <c r="H262" s="17"/>
      <c r="I262" s="395"/>
      <c r="J262" s="17"/>
    </row>
    <row r="263" spans="1:10" s="2" customFormat="1" ht="14.25" customHeight="1" x14ac:dyDescent="0.25">
      <c r="A263" s="77"/>
      <c r="B263" s="879"/>
      <c r="C263" s="6"/>
      <c r="D263" s="83" t="s">
        <v>170</v>
      </c>
      <c r="E263" s="30"/>
      <c r="F263" s="37"/>
      <c r="G263" s="4"/>
      <c r="H263" s="17"/>
      <c r="I263" s="395"/>
      <c r="J263" s="17"/>
    </row>
    <row r="264" spans="1:10" s="2" customFormat="1" ht="14.25" customHeight="1" x14ac:dyDescent="0.25">
      <c r="A264" s="77"/>
      <c r="B264" s="879"/>
      <c r="C264" s="6"/>
      <c r="D264" s="83" t="s">
        <v>171</v>
      </c>
      <c r="E264" s="30"/>
      <c r="F264" s="37"/>
      <c r="G264" s="4"/>
      <c r="H264" s="17"/>
      <c r="I264" s="395"/>
      <c r="J264" s="17"/>
    </row>
    <row r="265" spans="1:10" s="8" customFormat="1" ht="5.25" customHeight="1" x14ac:dyDescent="0.25">
      <c r="A265" s="7"/>
      <c r="B265" s="7"/>
      <c r="C265" s="7"/>
      <c r="D265" s="7"/>
      <c r="E265" s="7"/>
      <c r="F265" s="93"/>
      <c r="G265" s="7"/>
      <c r="H265" s="93"/>
      <c r="I265" s="7"/>
      <c r="J265" s="93"/>
    </row>
    <row r="266" spans="1:10" s="9" customFormat="1" ht="19.5" customHeight="1" x14ac:dyDescent="0.25">
      <c r="A266" s="926" t="s">
        <v>67</v>
      </c>
      <c r="B266" s="831" t="s">
        <v>68</v>
      </c>
      <c r="C266" s="926" t="s">
        <v>65</v>
      </c>
      <c r="D266" s="155" t="s">
        <v>81</v>
      </c>
      <c r="E266" s="161">
        <f t="shared" ref="E266:J266" si="43">E267+E271+E278+E284</f>
        <v>5182</v>
      </c>
      <c r="F266" s="158">
        <f t="shared" si="43"/>
        <v>1850421</v>
      </c>
      <c r="G266" s="161">
        <f t="shared" si="43"/>
        <v>0</v>
      </c>
      <c r="H266" s="158">
        <f t="shared" si="43"/>
        <v>0</v>
      </c>
      <c r="I266" s="161">
        <f t="shared" si="43"/>
        <v>0</v>
      </c>
      <c r="J266" s="158">
        <f t="shared" si="43"/>
        <v>0</v>
      </c>
    </row>
    <row r="267" spans="1:10" s="3" customFormat="1" ht="21.75" customHeight="1" x14ac:dyDescent="0.25">
      <c r="A267" s="927"/>
      <c r="B267" s="832"/>
      <c r="C267" s="927"/>
      <c r="D267" s="70" t="s">
        <v>79</v>
      </c>
      <c r="E267" s="70">
        <f t="shared" ref="E267:J267" si="44">SUM(E268:E270)</f>
        <v>500</v>
      </c>
      <c r="F267" s="84">
        <f t="shared" si="44"/>
        <v>125000</v>
      </c>
      <c r="G267" s="70">
        <f t="shared" si="44"/>
        <v>0</v>
      </c>
      <c r="H267" s="84">
        <f t="shared" si="44"/>
        <v>0</v>
      </c>
      <c r="I267" s="70">
        <f t="shared" si="44"/>
        <v>0</v>
      </c>
      <c r="J267" s="84">
        <f t="shared" si="44"/>
        <v>0</v>
      </c>
    </row>
    <row r="268" spans="1:10" s="2" customFormat="1" ht="14.25" customHeight="1" x14ac:dyDescent="0.25">
      <c r="A268" s="18"/>
      <c r="B268" s="832"/>
      <c r="C268" s="6"/>
      <c r="D268" s="83" t="s">
        <v>150</v>
      </c>
      <c r="E268" s="30"/>
      <c r="F268" s="37"/>
      <c r="G268" s="4"/>
      <c r="H268" s="17"/>
      <c r="I268" s="395"/>
      <c r="J268" s="17"/>
    </row>
    <row r="269" spans="1:10" s="2" customFormat="1" ht="14.25" customHeight="1" x14ac:dyDescent="0.25">
      <c r="A269" s="972"/>
      <c r="B269" s="832"/>
      <c r="C269" s="6"/>
      <c r="D269" s="83" t="s">
        <v>151</v>
      </c>
      <c r="E269" s="30">
        <f>500</f>
        <v>500</v>
      </c>
      <c r="F269" s="37">
        <f>125000</f>
        <v>125000</v>
      </c>
      <c r="G269" s="4"/>
      <c r="H269" s="17"/>
      <c r="I269" s="395"/>
      <c r="J269" s="17"/>
    </row>
    <row r="270" spans="1:10" s="2" customFormat="1" ht="14.25" customHeight="1" x14ac:dyDescent="0.25">
      <c r="A270" s="918"/>
      <c r="B270" s="832"/>
      <c r="C270" s="6"/>
      <c r="D270" s="83" t="s">
        <v>152</v>
      </c>
      <c r="E270" s="30"/>
      <c r="F270" s="37"/>
      <c r="G270" s="4"/>
      <c r="H270" s="17"/>
      <c r="I270" s="395"/>
      <c r="J270" s="17"/>
    </row>
    <row r="271" spans="1:10" s="2" customFormat="1" ht="20.25" customHeight="1" x14ac:dyDescent="0.25">
      <c r="A271" s="77"/>
      <c r="B271" s="832"/>
      <c r="C271" s="6"/>
      <c r="D271" s="70" t="s">
        <v>80</v>
      </c>
      <c r="E271" s="70">
        <f t="shared" ref="E271:J271" si="45">SUM(E272:E277)</f>
        <v>450</v>
      </c>
      <c r="F271" s="84">
        <f t="shared" si="45"/>
        <v>111375.5</v>
      </c>
      <c r="G271" s="70">
        <f t="shared" si="45"/>
        <v>0</v>
      </c>
      <c r="H271" s="84">
        <f t="shared" si="45"/>
        <v>0</v>
      </c>
      <c r="I271" s="70">
        <f t="shared" si="45"/>
        <v>0</v>
      </c>
      <c r="J271" s="84">
        <f t="shared" si="45"/>
        <v>0</v>
      </c>
    </row>
    <row r="272" spans="1:10" s="2" customFormat="1" ht="14.25" customHeight="1" x14ac:dyDescent="0.25">
      <c r="A272" s="77"/>
      <c r="B272" s="832"/>
      <c r="C272" s="6"/>
      <c r="D272" s="83" t="s">
        <v>153</v>
      </c>
      <c r="E272" s="30"/>
      <c r="F272" s="37"/>
      <c r="G272" s="4"/>
      <c r="H272" s="17"/>
      <c r="I272" s="395"/>
      <c r="J272" s="17"/>
    </row>
    <row r="273" spans="1:10" s="2" customFormat="1" ht="14.25" customHeight="1" x14ac:dyDescent="0.25">
      <c r="A273" s="77"/>
      <c r="B273" s="832"/>
      <c r="C273" s="6"/>
      <c r="D273" s="83" t="s">
        <v>154</v>
      </c>
      <c r="E273" s="30">
        <f>350+100</f>
        <v>450</v>
      </c>
      <c r="F273" s="37">
        <f>86625.5+24750</f>
        <v>111375.5</v>
      </c>
      <c r="G273" s="4"/>
      <c r="H273" s="17"/>
      <c r="I273" s="395"/>
      <c r="J273" s="17"/>
    </row>
    <row r="274" spans="1:10" s="2" customFormat="1" ht="14.25" customHeight="1" x14ac:dyDescent="0.25">
      <c r="A274" s="77"/>
      <c r="B274" s="832"/>
      <c r="C274" s="6"/>
      <c r="D274" s="83" t="s">
        <v>155</v>
      </c>
      <c r="E274" s="30"/>
      <c r="F274" s="37"/>
      <c r="G274" s="4"/>
      <c r="H274" s="17"/>
      <c r="I274" s="395"/>
      <c r="J274" s="17"/>
    </row>
    <row r="275" spans="1:10" s="2" customFormat="1" ht="14.25" customHeight="1" x14ac:dyDescent="0.25">
      <c r="A275" s="77"/>
      <c r="B275" s="179"/>
      <c r="C275" s="6"/>
      <c r="D275" s="83" t="s">
        <v>156</v>
      </c>
      <c r="E275" s="30"/>
      <c r="F275" s="37"/>
      <c r="G275" s="4"/>
      <c r="H275" s="17"/>
      <c r="I275" s="395"/>
      <c r="J275" s="17"/>
    </row>
    <row r="276" spans="1:10" s="2" customFormat="1" ht="14.25" customHeight="1" x14ac:dyDescent="0.25">
      <c r="A276" s="77"/>
      <c r="B276" s="179"/>
      <c r="C276" s="6"/>
      <c r="D276" s="83" t="s">
        <v>157</v>
      </c>
      <c r="E276" s="30"/>
      <c r="F276" s="37"/>
      <c r="G276" s="4"/>
      <c r="H276" s="17"/>
      <c r="I276" s="395"/>
      <c r="J276" s="17"/>
    </row>
    <row r="277" spans="1:10" s="2" customFormat="1" ht="14.25" customHeight="1" x14ac:dyDescent="0.25">
      <c r="A277" s="77"/>
      <c r="B277" s="179"/>
      <c r="C277" s="6"/>
      <c r="D277" s="83" t="s">
        <v>158</v>
      </c>
      <c r="E277" s="30"/>
      <c r="F277" s="37"/>
      <c r="G277" s="4"/>
      <c r="H277" s="17"/>
      <c r="I277" s="395"/>
      <c r="J277" s="17"/>
    </row>
    <row r="278" spans="1:10" s="2" customFormat="1" ht="17.25" customHeight="1" x14ac:dyDescent="0.25">
      <c r="A278" s="77"/>
      <c r="B278" s="179"/>
      <c r="C278" s="6"/>
      <c r="D278" s="70" t="s">
        <v>97</v>
      </c>
      <c r="E278" s="70">
        <f t="shared" ref="E278:J278" si="46">SUM(E279:E283)</f>
        <v>2232</v>
      </c>
      <c r="F278" s="84">
        <f t="shared" si="46"/>
        <v>554545.5</v>
      </c>
      <c r="G278" s="70">
        <f t="shared" si="46"/>
        <v>0</v>
      </c>
      <c r="H278" s="84">
        <f t="shared" si="46"/>
        <v>0</v>
      </c>
      <c r="I278" s="70">
        <f t="shared" si="46"/>
        <v>0</v>
      </c>
      <c r="J278" s="84">
        <f t="shared" si="46"/>
        <v>0</v>
      </c>
    </row>
    <row r="279" spans="1:10" s="2" customFormat="1" ht="14.25" customHeight="1" x14ac:dyDescent="0.25">
      <c r="A279" s="77"/>
      <c r="B279" s="179"/>
      <c r="C279" s="6"/>
      <c r="D279" s="83" t="s">
        <v>159</v>
      </c>
      <c r="E279" s="30">
        <f>642+338+600</f>
        <v>1580</v>
      </c>
      <c r="F279" s="37">
        <f>158895.5+83655+150000</f>
        <v>392550.5</v>
      </c>
      <c r="G279" s="4"/>
      <c r="H279" s="17"/>
      <c r="I279" s="395"/>
      <c r="J279" s="17"/>
    </row>
    <row r="280" spans="1:10" s="2" customFormat="1" ht="14.25" customHeight="1" x14ac:dyDescent="0.25">
      <c r="A280" s="77"/>
      <c r="B280" s="179"/>
      <c r="C280" s="6"/>
      <c r="D280" s="83" t="s">
        <v>160</v>
      </c>
      <c r="E280" s="30"/>
      <c r="F280" s="37"/>
      <c r="G280" s="4"/>
      <c r="H280" s="17"/>
      <c r="I280" s="395"/>
      <c r="J280" s="17"/>
    </row>
    <row r="281" spans="1:10" s="2" customFormat="1" ht="14.25" customHeight="1" x14ac:dyDescent="0.25">
      <c r="A281" s="77"/>
      <c r="B281" s="179"/>
      <c r="C281" s="6"/>
      <c r="D281" s="83" t="s">
        <v>161</v>
      </c>
      <c r="E281" s="30"/>
      <c r="F281" s="37"/>
      <c r="G281" s="4"/>
      <c r="H281" s="17"/>
      <c r="I281" s="395"/>
      <c r="J281" s="17"/>
    </row>
    <row r="282" spans="1:10" s="2" customFormat="1" ht="14.25" customHeight="1" x14ac:dyDescent="0.25">
      <c r="A282" s="77"/>
      <c r="B282" s="179"/>
      <c r="C282" s="6"/>
      <c r="D282" s="83" t="s">
        <v>162</v>
      </c>
      <c r="E282" s="30">
        <f>250</f>
        <v>250</v>
      </c>
      <c r="F282" s="37">
        <f>62500</f>
        <v>62500</v>
      </c>
      <c r="G282" s="4"/>
      <c r="H282" s="17"/>
      <c r="I282" s="395"/>
      <c r="J282" s="17"/>
    </row>
    <row r="283" spans="1:10" s="2" customFormat="1" ht="14.25" customHeight="1" x14ac:dyDescent="0.25">
      <c r="A283" s="153"/>
      <c r="B283" s="180"/>
      <c r="C283" s="6"/>
      <c r="D283" s="83" t="s">
        <v>163</v>
      </c>
      <c r="E283" s="30">
        <f>402</f>
        <v>402</v>
      </c>
      <c r="F283" s="37">
        <f>99495</f>
        <v>99495</v>
      </c>
      <c r="G283" s="109"/>
      <c r="H283" s="145"/>
      <c r="I283" s="407"/>
      <c r="J283" s="145"/>
    </row>
    <row r="284" spans="1:10" s="2" customFormat="1" ht="20.25" customHeight="1" x14ac:dyDescent="0.25">
      <c r="A284" s="77"/>
      <c r="B284" s="179"/>
      <c r="C284" s="46"/>
      <c r="D284" s="70" t="s">
        <v>98</v>
      </c>
      <c r="E284" s="70">
        <f t="shared" ref="E284:J284" si="47">SUM(E285:E292)</f>
        <v>2000</v>
      </c>
      <c r="F284" s="84">
        <f t="shared" si="47"/>
        <v>1059500</v>
      </c>
      <c r="G284" s="70">
        <f t="shared" si="47"/>
        <v>0</v>
      </c>
      <c r="H284" s="84">
        <f t="shared" si="47"/>
        <v>0</v>
      </c>
      <c r="I284" s="70">
        <f t="shared" si="47"/>
        <v>0</v>
      </c>
      <c r="J284" s="84">
        <f t="shared" si="47"/>
        <v>0</v>
      </c>
    </row>
    <row r="285" spans="1:10" s="2" customFormat="1" ht="14.25" customHeight="1" x14ac:dyDescent="0.25">
      <c r="A285" s="77"/>
      <c r="B285" s="179"/>
      <c r="C285" s="6"/>
      <c r="D285" s="83" t="s">
        <v>164</v>
      </c>
      <c r="E285" s="30">
        <f>150</f>
        <v>150</v>
      </c>
      <c r="F285" s="37">
        <f>37500</f>
        <v>37500</v>
      </c>
      <c r="G285" s="4"/>
      <c r="H285" s="17"/>
      <c r="I285" s="395"/>
      <c r="J285" s="17"/>
    </row>
    <row r="286" spans="1:10" s="2" customFormat="1" ht="14.25" customHeight="1" x14ac:dyDescent="0.25">
      <c r="A286" s="77"/>
      <c r="B286" s="179"/>
      <c r="C286" s="6"/>
      <c r="D286" s="83" t="s">
        <v>165</v>
      </c>
      <c r="E286" s="30">
        <f>600</f>
        <v>600</v>
      </c>
      <c r="F286" s="37">
        <f>150000</f>
        <v>150000</v>
      </c>
      <c r="G286" s="4"/>
      <c r="H286" s="17"/>
      <c r="I286" s="395"/>
      <c r="J286" s="17"/>
    </row>
    <row r="287" spans="1:10" s="2" customFormat="1" ht="14.25" customHeight="1" x14ac:dyDescent="0.25">
      <c r="A287" s="77"/>
      <c r="B287" s="179"/>
      <c r="C287" s="6"/>
      <c r="D287" s="83" t="s">
        <v>166</v>
      </c>
      <c r="E287" s="30"/>
      <c r="F287" s="37"/>
      <c r="G287" s="4"/>
      <c r="H287" s="17"/>
      <c r="I287" s="395"/>
      <c r="J287" s="17"/>
    </row>
    <row r="288" spans="1:10" s="2" customFormat="1" ht="14.25" customHeight="1" x14ac:dyDescent="0.25">
      <c r="A288" s="77"/>
      <c r="B288" s="179"/>
      <c r="C288" s="6"/>
      <c r="D288" s="83" t="s">
        <v>167</v>
      </c>
      <c r="E288" s="30"/>
      <c r="F288" s="37"/>
      <c r="G288" s="4"/>
      <c r="H288" s="17"/>
      <c r="I288" s="395"/>
      <c r="J288" s="17"/>
    </row>
    <row r="289" spans="1:10" s="2" customFormat="1" ht="14.25" customHeight="1" x14ac:dyDescent="0.25">
      <c r="A289" s="77"/>
      <c r="B289" s="179"/>
      <c r="C289" s="6"/>
      <c r="D289" s="83" t="s">
        <v>168</v>
      </c>
      <c r="E289" s="30">
        <f>500+100</f>
        <v>600</v>
      </c>
      <c r="F289" s="37">
        <f>125000+250000</f>
        <v>375000</v>
      </c>
      <c r="G289" s="4"/>
      <c r="H289" s="17"/>
      <c r="I289" s="395"/>
      <c r="J289" s="17"/>
    </row>
    <row r="290" spans="1:10" s="2" customFormat="1" ht="14.25" customHeight="1" x14ac:dyDescent="0.25">
      <c r="A290" s="77"/>
      <c r="B290" s="179"/>
      <c r="C290" s="6"/>
      <c r="D290" s="83" t="s">
        <v>169</v>
      </c>
      <c r="E290" s="30">
        <f>150+500</f>
        <v>650</v>
      </c>
      <c r="F290" s="37">
        <f>372000+125000</f>
        <v>497000</v>
      </c>
      <c r="G290" s="4"/>
      <c r="H290" s="17"/>
      <c r="I290" s="395"/>
      <c r="J290" s="17"/>
    </row>
    <row r="291" spans="1:10" s="2" customFormat="1" ht="14.25" customHeight="1" x14ac:dyDescent="0.25">
      <c r="A291" s="77"/>
      <c r="B291" s="179"/>
      <c r="C291" s="6"/>
      <c r="D291" s="83" t="s">
        <v>170</v>
      </c>
      <c r="E291" s="30"/>
      <c r="F291" s="37"/>
      <c r="G291" s="4"/>
      <c r="H291" s="17"/>
      <c r="I291" s="395"/>
      <c r="J291" s="17"/>
    </row>
    <row r="292" spans="1:10" s="2" customFormat="1" ht="14.25" customHeight="1" x14ac:dyDescent="0.25">
      <c r="A292" s="77"/>
      <c r="B292" s="180"/>
      <c r="C292" s="6"/>
      <c r="D292" s="83" t="s">
        <v>171</v>
      </c>
      <c r="E292" s="30"/>
      <c r="F292" s="37"/>
      <c r="G292" s="4"/>
      <c r="H292" s="17"/>
      <c r="I292" s="395"/>
      <c r="J292" s="17"/>
    </row>
    <row r="293" spans="1:10" s="8" customFormat="1" ht="5.25" customHeight="1" x14ac:dyDescent="0.25">
      <c r="A293" s="7"/>
      <c r="B293" s="7"/>
      <c r="C293" s="7"/>
      <c r="D293" s="7"/>
      <c r="E293" s="7"/>
      <c r="F293" s="93"/>
      <c r="G293" s="7"/>
      <c r="H293" s="93"/>
      <c r="I293" s="7"/>
      <c r="J293" s="93"/>
    </row>
    <row r="294" spans="1:10" s="9" customFormat="1" ht="15" customHeight="1" x14ac:dyDescent="0.25">
      <c r="A294" s="926" t="s">
        <v>201</v>
      </c>
      <c r="B294" s="831" t="s">
        <v>202</v>
      </c>
      <c r="C294" s="926" t="s">
        <v>65</v>
      </c>
      <c r="D294" s="155" t="s">
        <v>81</v>
      </c>
      <c r="E294" s="161">
        <f t="shared" ref="E294:J294" si="48">E295+E299+E306+E312</f>
        <v>413</v>
      </c>
      <c r="F294" s="158">
        <f t="shared" si="48"/>
        <v>489931.93000000005</v>
      </c>
      <c r="G294" s="161">
        <f t="shared" si="48"/>
        <v>0</v>
      </c>
      <c r="H294" s="158">
        <f t="shared" si="48"/>
        <v>0</v>
      </c>
      <c r="I294" s="161">
        <f t="shared" si="48"/>
        <v>512</v>
      </c>
      <c r="J294" s="158">
        <f t="shared" si="48"/>
        <v>81598.5</v>
      </c>
    </row>
    <row r="295" spans="1:10" s="3" customFormat="1" ht="18" customHeight="1" x14ac:dyDescent="0.25">
      <c r="A295" s="927"/>
      <c r="B295" s="832"/>
      <c r="C295" s="927"/>
      <c r="D295" s="70" t="s">
        <v>79</v>
      </c>
      <c r="E295" s="70">
        <f t="shared" ref="E295:J295" si="49">SUM(E296:E298)</f>
        <v>134</v>
      </c>
      <c r="F295" s="84">
        <f t="shared" si="49"/>
        <v>28264.5</v>
      </c>
      <c r="G295" s="70">
        <f t="shared" si="49"/>
        <v>0</v>
      </c>
      <c r="H295" s="84">
        <f t="shared" si="49"/>
        <v>0</v>
      </c>
      <c r="I295" s="70">
        <f t="shared" si="49"/>
        <v>0</v>
      </c>
      <c r="J295" s="84">
        <f t="shared" si="49"/>
        <v>0</v>
      </c>
    </row>
    <row r="296" spans="1:10" s="2" customFormat="1" ht="14.25" customHeight="1" x14ac:dyDescent="0.25">
      <c r="A296" s="18"/>
      <c r="B296" s="832"/>
      <c r="C296" s="6"/>
      <c r="D296" s="83" t="s">
        <v>150</v>
      </c>
      <c r="E296" s="30"/>
      <c r="F296" s="37"/>
      <c r="G296" s="4"/>
      <c r="H296" s="17"/>
      <c r="I296" s="395"/>
      <c r="J296" s="17"/>
    </row>
    <row r="297" spans="1:10" s="2" customFormat="1" ht="14.25" customHeight="1" x14ac:dyDescent="0.25">
      <c r="A297" s="972"/>
      <c r="B297" s="832"/>
      <c r="C297" s="6"/>
      <c r="D297" s="83" t="s">
        <v>151</v>
      </c>
      <c r="E297" s="30">
        <v>114</v>
      </c>
      <c r="F297" s="37">
        <v>8224</v>
      </c>
      <c r="G297" s="4"/>
      <c r="H297" s="17"/>
      <c r="I297" s="395"/>
      <c r="J297" s="17"/>
    </row>
    <row r="298" spans="1:10" s="2" customFormat="1" ht="14.25" customHeight="1" x14ac:dyDescent="0.25">
      <c r="A298" s="918"/>
      <c r="B298" s="832"/>
      <c r="C298" s="6"/>
      <c r="D298" s="83" t="s">
        <v>152</v>
      </c>
      <c r="E298" s="30">
        <v>20</v>
      </c>
      <c r="F298" s="37">
        <v>20040.5</v>
      </c>
      <c r="G298" s="4"/>
      <c r="H298" s="17"/>
      <c r="I298" s="395"/>
      <c r="J298" s="17"/>
    </row>
    <row r="299" spans="1:10" s="2" customFormat="1" ht="15.75" customHeight="1" x14ac:dyDescent="0.25">
      <c r="A299" s="104"/>
      <c r="B299" s="832"/>
      <c r="C299" s="6"/>
      <c r="D299" s="70" t="s">
        <v>80</v>
      </c>
      <c r="E299" s="70">
        <f t="shared" ref="E299:J299" si="50">SUM(E300:E305)</f>
        <v>0</v>
      </c>
      <c r="F299" s="84">
        <f t="shared" si="50"/>
        <v>0</v>
      </c>
      <c r="G299" s="70">
        <f t="shared" si="50"/>
        <v>0</v>
      </c>
      <c r="H299" s="84">
        <f t="shared" si="50"/>
        <v>0</v>
      </c>
      <c r="I299" s="70">
        <f t="shared" si="50"/>
        <v>5</v>
      </c>
      <c r="J299" s="84">
        <f t="shared" si="50"/>
        <v>2998.5</v>
      </c>
    </row>
    <row r="300" spans="1:10" s="2" customFormat="1" ht="14.25" customHeight="1" x14ac:dyDescent="0.25">
      <c r="A300" s="104"/>
      <c r="B300" s="832"/>
      <c r="C300" s="6"/>
      <c r="D300" s="83" t="s">
        <v>153</v>
      </c>
      <c r="E300" s="30"/>
      <c r="F300" s="37"/>
      <c r="G300" s="4"/>
      <c r="H300" s="17"/>
      <c r="I300" s="395"/>
      <c r="J300" s="17"/>
    </row>
    <row r="301" spans="1:10" s="2" customFormat="1" ht="14.25" customHeight="1" x14ac:dyDescent="0.25">
      <c r="A301" s="104"/>
      <c r="B301" s="832"/>
      <c r="C301" s="6"/>
      <c r="D301" s="83" t="s">
        <v>154</v>
      </c>
      <c r="E301" s="30"/>
      <c r="F301" s="37"/>
      <c r="G301" s="4"/>
      <c r="H301" s="17"/>
      <c r="I301" s="395"/>
      <c r="J301" s="17"/>
    </row>
    <row r="302" spans="1:10" s="2" customFormat="1" ht="14.25" customHeight="1" x14ac:dyDescent="0.25">
      <c r="A302" s="104"/>
      <c r="B302" s="833"/>
      <c r="C302" s="6"/>
      <c r="D302" s="83" t="s">
        <v>155</v>
      </c>
      <c r="E302" s="30"/>
      <c r="F302" s="37"/>
      <c r="G302" s="4"/>
      <c r="H302" s="17"/>
      <c r="I302" s="395"/>
      <c r="J302" s="17"/>
    </row>
    <row r="303" spans="1:10" s="2" customFormat="1" ht="14.25" customHeight="1" x14ac:dyDescent="0.25">
      <c r="A303" s="104"/>
      <c r="B303" s="831"/>
      <c r="C303" s="6"/>
      <c r="D303" s="83" t="s">
        <v>156</v>
      </c>
      <c r="E303" s="30"/>
      <c r="F303" s="37"/>
      <c r="G303" s="4"/>
      <c r="H303" s="17"/>
      <c r="I303" s="395"/>
      <c r="J303" s="17"/>
    </row>
    <row r="304" spans="1:10" s="2" customFormat="1" ht="14.25" customHeight="1" x14ac:dyDescent="0.25">
      <c r="A304" s="104"/>
      <c r="B304" s="832"/>
      <c r="C304" s="6"/>
      <c r="D304" s="83" t="s">
        <v>157</v>
      </c>
      <c r="E304" s="30"/>
      <c r="F304" s="37"/>
      <c r="G304" s="4"/>
      <c r="H304" s="17"/>
      <c r="I304" s="395"/>
      <c r="J304" s="17"/>
    </row>
    <row r="305" spans="1:10" s="2" customFormat="1" ht="14.25" customHeight="1" x14ac:dyDescent="0.25">
      <c r="A305" s="104"/>
      <c r="B305" s="832"/>
      <c r="C305" s="6"/>
      <c r="D305" s="83" t="s">
        <v>158</v>
      </c>
      <c r="E305" s="30"/>
      <c r="F305" s="37"/>
      <c r="G305" s="4"/>
      <c r="H305" s="17"/>
      <c r="I305" s="395">
        <f>5</f>
        <v>5</v>
      </c>
      <c r="J305" s="17">
        <f>2998.5</f>
        <v>2998.5</v>
      </c>
    </row>
    <row r="306" spans="1:10" s="2" customFormat="1" ht="18.75" customHeight="1" x14ac:dyDescent="0.25">
      <c r="A306" s="104"/>
      <c r="B306" s="832"/>
      <c r="C306" s="6"/>
      <c r="D306" s="70" t="s">
        <v>97</v>
      </c>
      <c r="E306" s="70">
        <f t="shared" ref="E306:J306" si="51">SUM(E307:E311)</f>
        <v>157</v>
      </c>
      <c r="F306" s="84">
        <f t="shared" si="51"/>
        <v>195714.27000000002</v>
      </c>
      <c r="G306" s="70">
        <f t="shared" si="51"/>
        <v>0</v>
      </c>
      <c r="H306" s="84">
        <f t="shared" si="51"/>
        <v>0</v>
      </c>
      <c r="I306" s="70">
        <f t="shared" si="51"/>
        <v>423</v>
      </c>
      <c r="J306" s="84">
        <f t="shared" si="51"/>
        <v>60750</v>
      </c>
    </row>
    <row r="307" spans="1:10" s="2" customFormat="1" ht="14.25" customHeight="1" x14ac:dyDescent="0.25">
      <c r="A307" s="104"/>
      <c r="B307" s="832"/>
      <c r="C307" s="6"/>
      <c r="D307" s="83" t="s">
        <v>159</v>
      </c>
      <c r="E307" s="30"/>
      <c r="F307" s="37"/>
      <c r="G307" s="4"/>
      <c r="H307" s="17"/>
      <c r="I307" s="395"/>
      <c r="J307" s="17"/>
    </row>
    <row r="308" spans="1:10" s="2" customFormat="1" ht="14.25" customHeight="1" x14ac:dyDescent="0.25">
      <c r="A308" s="104"/>
      <c r="B308" s="832"/>
      <c r="C308" s="6"/>
      <c r="D308" s="83" t="s">
        <v>160</v>
      </c>
      <c r="E308" s="30">
        <v>43</v>
      </c>
      <c r="F308" s="37">
        <v>51233.75</v>
      </c>
      <c r="G308" s="4"/>
      <c r="H308" s="17"/>
      <c r="I308" s="395"/>
      <c r="J308" s="17"/>
    </row>
    <row r="309" spans="1:10" s="2" customFormat="1" ht="14.25" customHeight="1" x14ac:dyDescent="0.25">
      <c r="A309" s="104"/>
      <c r="B309" s="832"/>
      <c r="C309" s="6"/>
      <c r="D309" s="83" t="s">
        <v>161</v>
      </c>
      <c r="E309" s="30">
        <v>83</v>
      </c>
      <c r="F309" s="37">
        <v>129861.52</v>
      </c>
      <c r="G309" s="4"/>
      <c r="H309" s="17"/>
      <c r="I309" s="395">
        <f>6</f>
        <v>6</v>
      </c>
      <c r="J309" s="17">
        <f>750</f>
        <v>750</v>
      </c>
    </row>
    <row r="310" spans="1:10" s="2" customFormat="1" ht="14.25" customHeight="1" x14ac:dyDescent="0.25">
      <c r="A310" s="104"/>
      <c r="B310" s="832"/>
      <c r="C310" s="6"/>
      <c r="D310" s="83" t="s">
        <v>162</v>
      </c>
      <c r="E310" s="30"/>
      <c r="F310" s="37"/>
      <c r="G310" s="4"/>
      <c r="H310" s="17"/>
      <c r="I310" s="395">
        <f>417</f>
        <v>417</v>
      </c>
      <c r="J310" s="17">
        <f>60000</f>
        <v>60000</v>
      </c>
    </row>
    <row r="311" spans="1:10" s="2" customFormat="1" ht="14.25" customHeight="1" x14ac:dyDescent="0.25">
      <c r="A311" s="104"/>
      <c r="B311" s="833"/>
      <c r="C311" s="6"/>
      <c r="D311" s="83" t="s">
        <v>163</v>
      </c>
      <c r="E311" s="30">
        <v>31</v>
      </c>
      <c r="F311" s="37">
        <v>14619</v>
      </c>
      <c r="G311" s="4"/>
      <c r="H311" s="17"/>
      <c r="I311" s="395"/>
      <c r="J311" s="17"/>
    </row>
    <row r="312" spans="1:10" s="2" customFormat="1" ht="15.75" customHeight="1" x14ac:dyDescent="0.25">
      <c r="A312" s="104"/>
      <c r="B312" s="831"/>
      <c r="C312" s="6"/>
      <c r="D312" s="70" t="s">
        <v>98</v>
      </c>
      <c r="E312" s="70">
        <f t="shared" ref="E312:J312" si="52">SUM(E313:E320)</f>
        <v>122</v>
      </c>
      <c r="F312" s="84">
        <f t="shared" si="52"/>
        <v>265953.16000000003</v>
      </c>
      <c r="G312" s="70">
        <f t="shared" si="52"/>
        <v>0</v>
      </c>
      <c r="H312" s="84">
        <f t="shared" si="52"/>
        <v>0</v>
      </c>
      <c r="I312" s="70">
        <f t="shared" si="52"/>
        <v>84</v>
      </c>
      <c r="J312" s="84">
        <f t="shared" si="52"/>
        <v>17850</v>
      </c>
    </row>
    <row r="313" spans="1:10" s="2" customFormat="1" ht="14.25" customHeight="1" x14ac:dyDescent="0.25">
      <c r="A313" s="104"/>
      <c r="B313" s="832"/>
      <c r="C313" s="6"/>
      <c r="D313" s="83" t="s">
        <v>164</v>
      </c>
      <c r="E313" s="30">
        <v>62</v>
      </c>
      <c r="F313" s="37">
        <v>154897</v>
      </c>
      <c r="G313" s="4"/>
      <c r="H313" s="17"/>
      <c r="I313" s="395"/>
      <c r="J313" s="17"/>
    </row>
    <row r="314" spans="1:10" s="2" customFormat="1" ht="14.25" customHeight="1" x14ac:dyDescent="0.25">
      <c r="A314" s="104"/>
      <c r="B314" s="832"/>
      <c r="C314" s="6"/>
      <c r="D314" s="83" t="s">
        <v>165</v>
      </c>
      <c r="E314" s="30"/>
      <c r="F314" s="37"/>
      <c r="G314" s="4"/>
      <c r="H314" s="17"/>
      <c r="I314" s="395">
        <f>84</f>
        <v>84</v>
      </c>
      <c r="J314" s="17">
        <f>17850</f>
        <v>17850</v>
      </c>
    </row>
    <row r="315" spans="1:10" s="2" customFormat="1" ht="14.25" customHeight="1" x14ac:dyDescent="0.25">
      <c r="A315" s="104"/>
      <c r="B315" s="832"/>
      <c r="C315" s="6"/>
      <c r="D315" s="83" t="s">
        <v>166</v>
      </c>
      <c r="E315" s="30">
        <v>10</v>
      </c>
      <c r="F315" s="37">
        <v>14645.5</v>
      </c>
      <c r="G315" s="4"/>
      <c r="H315" s="17"/>
      <c r="I315" s="395"/>
      <c r="J315" s="17"/>
    </row>
    <row r="316" spans="1:10" s="2" customFormat="1" ht="14.25" customHeight="1" x14ac:dyDescent="0.25">
      <c r="A316" s="104"/>
      <c r="B316" s="832"/>
      <c r="C316" s="6"/>
      <c r="D316" s="83" t="s">
        <v>167</v>
      </c>
      <c r="E316" s="30">
        <v>3</v>
      </c>
      <c r="F316" s="37">
        <v>4300</v>
      </c>
      <c r="G316" s="4"/>
      <c r="H316" s="17"/>
      <c r="I316" s="395"/>
      <c r="J316" s="17"/>
    </row>
    <row r="317" spans="1:10" s="2" customFormat="1" ht="14.25" customHeight="1" x14ac:dyDescent="0.25">
      <c r="A317" s="104"/>
      <c r="B317" s="832"/>
      <c r="C317" s="6"/>
      <c r="D317" s="83" t="s">
        <v>168</v>
      </c>
      <c r="E317" s="30">
        <v>14</v>
      </c>
      <c r="F317" s="37">
        <v>30102.58</v>
      </c>
      <c r="G317" s="4"/>
      <c r="H317" s="17"/>
      <c r="I317" s="395"/>
      <c r="J317" s="17"/>
    </row>
    <row r="318" spans="1:10" s="2" customFormat="1" ht="14.25" customHeight="1" x14ac:dyDescent="0.25">
      <c r="A318" s="104"/>
      <c r="B318" s="832"/>
      <c r="C318" s="6"/>
      <c r="D318" s="83" t="s">
        <v>169</v>
      </c>
      <c r="E318" s="30"/>
      <c r="F318" s="37"/>
      <c r="G318" s="4"/>
      <c r="H318" s="17"/>
      <c r="I318" s="395"/>
      <c r="J318" s="17"/>
    </row>
    <row r="319" spans="1:10" s="2" customFormat="1" ht="14.25" customHeight="1" x14ac:dyDescent="0.25">
      <c r="A319" s="104"/>
      <c r="B319" s="832"/>
      <c r="C319" s="6"/>
      <c r="D319" s="83" t="s">
        <v>170</v>
      </c>
      <c r="E319" s="30"/>
      <c r="F319" s="37"/>
      <c r="G319" s="4"/>
      <c r="H319" s="17"/>
      <c r="I319" s="395"/>
      <c r="J319" s="17"/>
    </row>
    <row r="320" spans="1:10" s="2" customFormat="1" ht="14.25" customHeight="1" x14ac:dyDescent="0.25">
      <c r="A320" s="153"/>
      <c r="B320" s="833"/>
      <c r="C320" s="6"/>
      <c r="D320" s="83" t="s">
        <v>171</v>
      </c>
      <c r="E320" s="30">
        <v>33</v>
      </c>
      <c r="F320" s="37">
        <v>62008.08</v>
      </c>
      <c r="G320" s="4"/>
      <c r="H320" s="17"/>
      <c r="I320" s="395"/>
      <c r="J320" s="17"/>
    </row>
    <row r="321" spans="1:10" s="8" customFormat="1" ht="5.25" customHeight="1" x14ac:dyDescent="0.25">
      <c r="A321" s="7"/>
      <c r="B321" s="7"/>
      <c r="C321" s="7"/>
      <c r="D321" s="7"/>
      <c r="E321" s="7"/>
      <c r="F321" s="93"/>
      <c r="G321" s="7"/>
      <c r="H321" s="93"/>
      <c r="I321" s="7"/>
      <c r="J321" s="93"/>
    </row>
    <row r="322" spans="1:10" ht="36" customHeight="1" x14ac:dyDescent="0.25">
      <c r="A322" s="398" t="s">
        <v>0</v>
      </c>
      <c r="B322" s="399" t="s">
        <v>51</v>
      </c>
      <c r="C322" s="275"/>
      <c r="D322" s="404" t="s">
        <v>3</v>
      </c>
      <c r="E322" s="398" t="s">
        <v>253</v>
      </c>
      <c r="F322" s="403" t="s">
        <v>254</v>
      </c>
      <c r="G322" s="398" t="s">
        <v>253</v>
      </c>
      <c r="H322" s="403" t="s">
        <v>254</v>
      </c>
      <c r="I322" s="398" t="s">
        <v>253</v>
      </c>
      <c r="J322" s="403" t="s">
        <v>254</v>
      </c>
    </row>
    <row r="323" spans="1:10" ht="21.75" customHeight="1" x14ac:dyDescent="0.25">
      <c r="A323" s="399"/>
      <c r="B323" s="447"/>
      <c r="C323" s="275"/>
      <c r="D323" s="184" t="s">
        <v>81</v>
      </c>
      <c r="E323" s="161">
        <f>E328+E333+E342</f>
        <v>0</v>
      </c>
      <c r="F323" s="158">
        <f>F328+F333+F342</f>
        <v>0</v>
      </c>
      <c r="G323" s="161">
        <f>G328+G335+G341</f>
        <v>47</v>
      </c>
      <c r="H323" s="158">
        <f>H328+H335+H341</f>
        <v>45495425</v>
      </c>
      <c r="I323" s="161">
        <f>I328+I333+I342</f>
        <v>0</v>
      </c>
      <c r="J323" s="158">
        <f>J328+J333+J342</f>
        <v>0</v>
      </c>
    </row>
    <row r="324" spans="1:10" s="2" customFormat="1" ht="14.25" customHeight="1" x14ac:dyDescent="0.25">
      <c r="A324" s="856" t="s">
        <v>317</v>
      </c>
      <c r="B324" s="831" t="s">
        <v>251</v>
      </c>
      <c r="D324" s="70" t="s">
        <v>79</v>
      </c>
      <c r="E324" s="70">
        <f t="shared" ref="E324:J324" si="53">SUM(E325:E327)</f>
        <v>0</v>
      </c>
      <c r="F324" s="84">
        <f t="shared" si="53"/>
        <v>0</v>
      </c>
      <c r="G324" s="70">
        <f t="shared" si="53"/>
        <v>0</v>
      </c>
      <c r="H324" s="84">
        <f t="shared" si="53"/>
        <v>0</v>
      </c>
      <c r="I324" s="70">
        <f t="shared" si="53"/>
        <v>0</v>
      </c>
      <c r="J324" s="84">
        <f t="shared" si="53"/>
        <v>0</v>
      </c>
    </row>
    <row r="325" spans="1:10" s="2" customFormat="1" ht="14.25" customHeight="1" x14ac:dyDescent="0.25">
      <c r="A325" s="857"/>
      <c r="B325" s="832"/>
      <c r="D325" s="83" t="s">
        <v>150</v>
      </c>
      <c r="E325" s="30"/>
      <c r="F325" s="37"/>
      <c r="G325" s="470"/>
      <c r="H325" s="17"/>
      <c r="I325" s="470"/>
      <c r="J325" s="17"/>
    </row>
    <row r="326" spans="1:10" s="2" customFormat="1" ht="14.25" customHeight="1" x14ac:dyDescent="0.25">
      <c r="A326" s="857"/>
      <c r="B326" s="832"/>
      <c r="D326" s="83" t="s">
        <v>151</v>
      </c>
      <c r="E326" s="30"/>
      <c r="F326" s="37"/>
      <c r="G326" s="470"/>
      <c r="H326" s="17"/>
      <c r="I326" s="470"/>
      <c r="J326" s="17"/>
    </row>
    <row r="327" spans="1:10" s="2" customFormat="1" ht="14.25" customHeight="1" x14ac:dyDescent="0.25">
      <c r="A327" s="857"/>
      <c r="B327" s="832"/>
      <c r="D327" s="83" t="s">
        <v>152</v>
      </c>
      <c r="E327" s="30"/>
      <c r="F327" s="37"/>
      <c r="G327" s="470"/>
      <c r="H327" s="17"/>
      <c r="I327" s="470"/>
      <c r="J327" s="17"/>
    </row>
    <row r="328" spans="1:10" s="2" customFormat="1" ht="14.25" customHeight="1" x14ac:dyDescent="0.25">
      <c r="A328" s="857"/>
      <c r="B328" s="832"/>
      <c r="C328" s="224"/>
      <c r="D328" s="224" t="s">
        <v>272</v>
      </c>
      <c r="E328" s="224"/>
      <c r="F328" s="84"/>
      <c r="G328" s="224">
        <f>SUM(G330:G333)</f>
        <v>13</v>
      </c>
      <c r="H328" s="84">
        <f>SUM(H330:H333)</f>
        <v>11470675</v>
      </c>
      <c r="I328" s="224">
        <f>SUM(I330:I333)</f>
        <v>0</v>
      </c>
      <c r="J328" s="84">
        <f>SUM(J330:J333)</f>
        <v>0</v>
      </c>
    </row>
    <row r="329" spans="1:10" s="2" customFormat="1" ht="14.25" customHeight="1" x14ac:dyDescent="0.25">
      <c r="A329" s="857"/>
      <c r="B329" s="832"/>
      <c r="C329" s="6"/>
      <c r="D329" s="83" t="s">
        <v>153</v>
      </c>
      <c r="E329" s="30"/>
      <c r="F329" s="37"/>
      <c r="G329" s="470"/>
      <c r="H329" s="17"/>
      <c r="I329" s="470"/>
      <c r="J329" s="17"/>
    </row>
    <row r="330" spans="1:10" s="2" customFormat="1" ht="14.25" customHeight="1" x14ac:dyDescent="0.25">
      <c r="A330" s="857"/>
      <c r="B330" s="832"/>
      <c r="C330" s="259"/>
      <c r="D330" s="259" t="s">
        <v>154</v>
      </c>
      <c r="E330" s="260"/>
      <c r="F330" s="261"/>
      <c r="G330" s="260">
        <v>5</v>
      </c>
      <c r="H330" s="261">
        <v>2252500</v>
      </c>
      <c r="I330" s="260"/>
      <c r="J330" s="261"/>
    </row>
    <row r="331" spans="1:10" s="2" customFormat="1" ht="14.25" customHeight="1" x14ac:dyDescent="0.25">
      <c r="A331" s="857"/>
      <c r="B331" s="832"/>
      <c r="C331" s="259"/>
      <c r="D331" s="259" t="s">
        <v>155</v>
      </c>
      <c r="E331" s="260"/>
      <c r="F331" s="261"/>
      <c r="G331" s="260">
        <v>3</v>
      </c>
      <c r="H331" s="261">
        <v>4256800</v>
      </c>
      <c r="I331" s="260"/>
      <c r="J331" s="261"/>
    </row>
    <row r="332" spans="1:10" s="2" customFormat="1" ht="14.25" customHeight="1" x14ac:dyDescent="0.25">
      <c r="A332" s="857"/>
      <c r="B332" s="832"/>
      <c r="C332" s="6"/>
      <c r="D332" s="83" t="s">
        <v>156</v>
      </c>
      <c r="E332" s="30"/>
      <c r="F332" s="37"/>
      <c r="G332" s="470"/>
      <c r="H332" s="17"/>
      <c r="I332" s="470"/>
      <c r="J332" s="17"/>
    </row>
    <row r="333" spans="1:10" s="2" customFormat="1" ht="14.25" customHeight="1" x14ac:dyDescent="0.25">
      <c r="A333" s="857"/>
      <c r="B333" s="832"/>
      <c r="C333" s="259"/>
      <c r="D333" s="259" t="s">
        <v>273</v>
      </c>
      <c r="E333" s="260"/>
      <c r="F333" s="261"/>
      <c r="G333" s="260">
        <v>5</v>
      </c>
      <c r="H333" s="261">
        <v>4961375</v>
      </c>
      <c r="I333" s="260"/>
      <c r="J333" s="261"/>
    </row>
    <row r="334" spans="1:10" s="2" customFormat="1" ht="14.25" customHeight="1" x14ac:dyDescent="0.25">
      <c r="A334" s="857"/>
      <c r="B334" s="832"/>
      <c r="C334" s="6"/>
      <c r="D334" s="83" t="s">
        <v>158</v>
      </c>
      <c r="E334" s="30"/>
      <c r="F334" s="37"/>
      <c r="G334" s="470"/>
      <c r="H334" s="17"/>
      <c r="I334" s="470"/>
      <c r="J334" s="17"/>
    </row>
    <row r="335" spans="1:10" s="2" customFormat="1" ht="14.25" customHeight="1" x14ac:dyDescent="0.25">
      <c r="A335" s="857"/>
      <c r="B335" s="832"/>
      <c r="C335" s="224"/>
      <c r="D335" s="224" t="s">
        <v>97</v>
      </c>
      <c r="E335" s="224">
        <f t="shared" ref="E335:J335" si="54">SUM(E339:E339)</f>
        <v>0</v>
      </c>
      <c r="F335" s="84">
        <f t="shared" si="54"/>
        <v>0</v>
      </c>
      <c r="G335" s="224">
        <f t="shared" si="54"/>
        <v>4</v>
      </c>
      <c r="H335" s="84">
        <f t="shared" si="54"/>
        <v>3370000</v>
      </c>
      <c r="I335" s="224">
        <f t="shared" si="54"/>
        <v>0</v>
      </c>
      <c r="J335" s="84">
        <f t="shared" si="54"/>
        <v>0</v>
      </c>
    </row>
    <row r="336" spans="1:10" s="2" customFormat="1" ht="14.25" customHeight="1" x14ac:dyDescent="0.25">
      <c r="A336" s="857"/>
      <c r="B336" s="832"/>
      <c r="C336" s="6"/>
      <c r="D336" s="83" t="s">
        <v>159</v>
      </c>
      <c r="E336" s="30"/>
      <c r="F336" s="37"/>
      <c r="G336" s="470"/>
      <c r="H336" s="17"/>
      <c r="I336" s="470"/>
      <c r="J336" s="17"/>
    </row>
    <row r="337" spans="1:10" s="2" customFormat="1" ht="14.25" customHeight="1" x14ac:dyDescent="0.25">
      <c r="A337" s="857"/>
      <c r="B337" s="832"/>
      <c r="C337" s="6"/>
      <c r="D337" s="83" t="s">
        <v>160</v>
      </c>
      <c r="E337" s="30"/>
      <c r="F337" s="37"/>
      <c r="G337" s="470"/>
      <c r="H337" s="17"/>
      <c r="I337" s="470"/>
      <c r="J337" s="17"/>
    </row>
    <row r="338" spans="1:10" s="2" customFormat="1" ht="14.25" customHeight="1" x14ac:dyDescent="0.25">
      <c r="A338" s="857"/>
      <c r="B338" s="832"/>
      <c r="C338" s="196"/>
      <c r="D338" s="196" t="s">
        <v>161</v>
      </c>
      <c r="E338" s="233"/>
      <c r="F338" s="234"/>
      <c r="G338" s="233">
        <v>3</v>
      </c>
      <c r="H338" s="234">
        <v>2374550</v>
      </c>
      <c r="I338" s="233"/>
      <c r="J338" s="234"/>
    </row>
    <row r="339" spans="1:10" s="2" customFormat="1" ht="14.25" customHeight="1" x14ac:dyDescent="0.25">
      <c r="A339" s="857"/>
      <c r="B339" s="832"/>
      <c r="C339" s="259"/>
      <c r="D339" s="259" t="s">
        <v>162</v>
      </c>
      <c r="E339" s="260"/>
      <c r="F339" s="261"/>
      <c r="G339" s="260">
        <v>4</v>
      </c>
      <c r="H339" s="261">
        <v>3370000</v>
      </c>
      <c r="I339" s="260"/>
      <c r="J339" s="261"/>
    </row>
    <row r="340" spans="1:10" s="2" customFormat="1" ht="14.25" customHeight="1" x14ac:dyDescent="0.25">
      <c r="A340" s="857"/>
      <c r="B340" s="832"/>
      <c r="C340" s="6"/>
      <c r="D340" s="86" t="s">
        <v>163</v>
      </c>
      <c r="E340" s="30"/>
      <c r="F340" s="37"/>
      <c r="G340" s="470"/>
      <c r="H340" s="17"/>
      <c r="I340" s="470"/>
      <c r="J340" s="17"/>
    </row>
    <row r="341" spans="1:10" s="2" customFormat="1" ht="14.25" customHeight="1" x14ac:dyDescent="0.25">
      <c r="A341" s="857"/>
      <c r="B341" s="832"/>
      <c r="C341" s="224"/>
      <c r="D341" s="224" t="s">
        <v>98</v>
      </c>
      <c r="E341" s="224">
        <f t="shared" ref="E341:J341" si="55">SUM(E342:E348)</f>
        <v>0</v>
      </c>
      <c r="F341" s="84">
        <f t="shared" si="55"/>
        <v>0</v>
      </c>
      <c r="G341" s="224">
        <f t="shared" si="55"/>
        <v>30</v>
      </c>
      <c r="H341" s="84">
        <f t="shared" si="55"/>
        <v>30654750</v>
      </c>
      <c r="I341" s="224">
        <f t="shared" si="55"/>
        <v>0</v>
      </c>
      <c r="J341" s="84">
        <f t="shared" si="55"/>
        <v>0</v>
      </c>
    </row>
    <row r="342" spans="1:10" s="2" customFormat="1" ht="14.25" customHeight="1" x14ac:dyDescent="0.25">
      <c r="A342" s="857"/>
      <c r="B342" s="832"/>
      <c r="C342" s="259"/>
      <c r="D342" s="259" t="s">
        <v>164</v>
      </c>
      <c r="E342" s="260"/>
      <c r="F342" s="261"/>
      <c r="G342" s="260">
        <v>3</v>
      </c>
      <c r="H342" s="261">
        <v>5300000</v>
      </c>
      <c r="I342" s="260"/>
      <c r="J342" s="261"/>
    </row>
    <row r="343" spans="1:10" s="2" customFormat="1" ht="14.25" customHeight="1" x14ac:dyDescent="0.25">
      <c r="A343" s="921"/>
      <c r="B343" s="833"/>
      <c r="C343" s="259"/>
      <c r="D343" s="259" t="s">
        <v>165</v>
      </c>
      <c r="E343" s="260"/>
      <c r="F343" s="261"/>
      <c r="G343" s="260">
        <v>4</v>
      </c>
      <c r="H343" s="261">
        <v>5214750</v>
      </c>
      <c r="I343" s="260"/>
      <c r="J343" s="261"/>
    </row>
    <row r="344" spans="1:10" s="2" customFormat="1" ht="14.25" customHeight="1" x14ac:dyDescent="0.25">
      <c r="A344" s="115"/>
      <c r="B344" s="50"/>
      <c r="C344" s="259"/>
      <c r="D344" s="259" t="s">
        <v>166</v>
      </c>
      <c r="E344" s="260"/>
      <c r="F344" s="261"/>
      <c r="G344" s="260">
        <v>7</v>
      </c>
      <c r="H344" s="261">
        <v>3825000</v>
      </c>
      <c r="I344" s="260"/>
      <c r="J344" s="261"/>
    </row>
    <row r="345" spans="1:10" s="2" customFormat="1" ht="14.25" customHeight="1" x14ac:dyDescent="0.25">
      <c r="A345" s="115"/>
      <c r="B345" s="50"/>
      <c r="C345" s="259"/>
      <c r="D345" s="259" t="s">
        <v>167</v>
      </c>
      <c r="E345" s="260"/>
      <c r="F345" s="261"/>
      <c r="G345" s="260">
        <v>6</v>
      </c>
      <c r="H345" s="261">
        <v>6980000</v>
      </c>
      <c r="I345" s="260"/>
      <c r="J345" s="261"/>
    </row>
    <row r="346" spans="1:10" s="2" customFormat="1" ht="14.25" customHeight="1" x14ac:dyDescent="0.25">
      <c r="A346" s="471"/>
      <c r="B346" s="50"/>
      <c r="C346" s="6"/>
      <c r="D346" s="83" t="s">
        <v>168</v>
      </c>
      <c r="E346" s="30"/>
      <c r="F346" s="37"/>
      <c r="G346" s="470"/>
      <c r="H346" s="17"/>
      <c r="I346" s="470"/>
      <c r="J346" s="17"/>
    </row>
    <row r="347" spans="1:10" s="2" customFormat="1" ht="14.25" customHeight="1" x14ac:dyDescent="0.25">
      <c r="A347" s="115"/>
      <c r="B347" s="50"/>
      <c r="C347" s="259"/>
      <c r="D347" s="259" t="s">
        <v>90</v>
      </c>
      <c r="E347" s="260"/>
      <c r="F347" s="261"/>
      <c r="G347" s="260">
        <v>4</v>
      </c>
      <c r="H347" s="261">
        <v>3485000</v>
      </c>
      <c r="I347" s="260"/>
      <c r="J347" s="261"/>
    </row>
    <row r="348" spans="1:10" s="2" customFormat="1" ht="14.25" customHeight="1" x14ac:dyDescent="0.25">
      <c r="A348" s="115"/>
      <c r="B348" s="50"/>
      <c r="C348" s="259"/>
      <c r="D348" s="259" t="s">
        <v>276</v>
      </c>
      <c r="E348" s="260"/>
      <c r="F348" s="261"/>
      <c r="G348" s="260">
        <v>6</v>
      </c>
      <c r="H348" s="261">
        <v>5850000</v>
      </c>
      <c r="I348" s="260"/>
      <c r="J348" s="261"/>
    </row>
    <row r="349" spans="1:10" s="2" customFormat="1" ht="14.25" customHeight="1" x14ac:dyDescent="0.25">
      <c r="A349" s="473"/>
      <c r="B349" s="50"/>
      <c r="C349" s="6"/>
      <c r="D349" s="83" t="s">
        <v>171</v>
      </c>
      <c r="E349" s="30"/>
      <c r="F349" s="37"/>
      <c r="G349" s="470"/>
      <c r="H349" s="17"/>
      <c r="I349" s="470"/>
      <c r="J349" s="17"/>
    </row>
    <row r="350" spans="1:10" s="2" customFormat="1" ht="14.25" customHeight="1" x14ac:dyDescent="0.25">
      <c r="A350" s="115"/>
      <c r="B350" s="50"/>
      <c r="C350" s="194"/>
      <c r="D350" s="116"/>
      <c r="E350" s="117"/>
      <c r="F350" s="118"/>
      <c r="G350" s="51"/>
      <c r="H350" s="58"/>
      <c r="I350" s="51"/>
      <c r="J350" s="58"/>
    </row>
    <row r="351" spans="1:10" s="2" customFormat="1" ht="14.25" customHeight="1" x14ac:dyDescent="0.25">
      <c r="A351" s="115"/>
      <c r="B351" s="50"/>
      <c r="C351" s="194"/>
      <c r="D351" s="116"/>
      <c r="E351" s="117"/>
      <c r="F351" s="118"/>
      <c r="G351" s="51"/>
      <c r="H351" s="58"/>
      <c r="I351" s="51"/>
      <c r="J351" s="58"/>
    </row>
    <row r="352" spans="1:10" s="2" customFormat="1" ht="14.25" customHeight="1" x14ac:dyDescent="0.25">
      <c r="A352" s="115"/>
      <c r="B352" s="50"/>
      <c r="C352" s="194"/>
      <c r="D352" s="116"/>
      <c r="E352" s="117"/>
      <c r="F352" s="118"/>
      <c r="G352" s="51"/>
      <c r="H352" s="58"/>
      <c r="I352" s="51"/>
      <c r="J352" s="58"/>
    </row>
    <row r="353" spans="1:10" s="2" customFormat="1" ht="14.25" customHeight="1" x14ac:dyDescent="0.25">
      <c r="A353" s="115"/>
      <c r="B353" s="50"/>
      <c r="C353" s="194"/>
      <c r="D353" s="116"/>
      <c r="E353" s="117"/>
      <c r="F353" s="118"/>
      <c r="G353" s="51"/>
      <c r="H353" s="58"/>
      <c r="I353" s="51"/>
      <c r="J353" s="58"/>
    </row>
    <row r="354" spans="1:10" s="2" customFormat="1" ht="14.25" customHeight="1" x14ac:dyDescent="0.25">
      <c r="A354" s="115"/>
      <c r="B354" s="50"/>
      <c r="C354" s="194"/>
      <c r="D354" s="116"/>
      <c r="E354" s="117"/>
      <c r="F354" s="118"/>
      <c r="G354" s="51"/>
      <c r="H354" s="58"/>
      <c r="I354" s="51"/>
      <c r="J354" s="58"/>
    </row>
    <row r="355" spans="1:10" s="2" customFormat="1" ht="14.25" customHeight="1" x14ac:dyDescent="0.25">
      <c r="A355" s="115"/>
      <c r="B355" s="50"/>
      <c r="C355" s="194"/>
      <c r="D355" s="116"/>
      <c r="E355" s="117"/>
      <c r="F355" s="118"/>
      <c r="G355" s="51"/>
      <c r="H355" s="58"/>
      <c r="I355" s="51"/>
      <c r="J355" s="58"/>
    </row>
    <row r="356" spans="1:10" s="2" customFormat="1" ht="14.25" customHeight="1" x14ac:dyDescent="0.25">
      <c r="A356" s="115"/>
      <c r="B356" s="50"/>
      <c r="C356" s="194"/>
      <c r="D356" s="116"/>
      <c r="E356" s="117"/>
      <c r="F356" s="118"/>
      <c r="G356" s="51"/>
      <c r="H356" s="58"/>
      <c r="I356" s="51"/>
      <c r="J356" s="58"/>
    </row>
    <row r="357" spans="1:10" s="2" customFormat="1" ht="14.25" customHeight="1" x14ac:dyDescent="0.25">
      <c r="A357" s="115"/>
      <c r="B357" s="50"/>
      <c r="C357" s="194"/>
      <c r="D357" s="116"/>
      <c r="E357" s="117"/>
      <c r="F357" s="118"/>
      <c r="G357" s="51"/>
      <c r="H357" s="58"/>
      <c r="I357" s="51"/>
      <c r="J357" s="58"/>
    </row>
    <row r="358" spans="1:10" s="2" customFormat="1" ht="14.25" customHeight="1" x14ac:dyDescent="0.25">
      <c r="A358" s="115"/>
      <c r="B358" s="50"/>
      <c r="C358" s="194"/>
      <c r="D358" s="116"/>
      <c r="E358" s="117"/>
      <c r="F358" s="118"/>
      <c r="G358" s="51"/>
      <c r="H358" s="58"/>
      <c r="I358" s="51"/>
      <c r="J358" s="58"/>
    </row>
    <row r="359" spans="1:10" s="2" customFormat="1" ht="14.25" customHeight="1" x14ac:dyDescent="0.25">
      <c r="A359" s="115"/>
      <c r="B359" s="50"/>
      <c r="C359" s="194"/>
      <c r="D359" s="116"/>
      <c r="E359" s="117"/>
      <c r="F359" s="118"/>
      <c r="G359" s="51"/>
      <c r="H359" s="58"/>
      <c r="I359" s="51"/>
      <c r="J359" s="58"/>
    </row>
    <row r="360" spans="1:10" s="2" customFormat="1" ht="14.25" customHeight="1" x14ac:dyDescent="0.25">
      <c r="A360" s="115"/>
      <c r="B360" s="50"/>
      <c r="C360" s="194"/>
      <c r="D360" s="116"/>
      <c r="E360" s="117"/>
      <c r="F360" s="118"/>
      <c r="G360" s="51"/>
      <c r="H360" s="58"/>
      <c r="I360" s="51"/>
      <c r="J360" s="58"/>
    </row>
    <row r="361" spans="1:10" s="2" customFormat="1" ht="14.25" customHeight="1" x14ac:dyDescent="0.25">
      <c r="A361" s="115"/>
      <c r="B361" s="50"/>
      <c r="C361" s="194"/>
      <c r="D361" s="116"/>
      <c r="E361" s="117"/>
      <c r="F361" s="118"/>
      <c r="G361" s="51"/>
      <c r="H361" s="58"/>
      <c r="I361" s="51"/>
      <c r="J361" s="58"/>
    </row>
    <row r="362" spans="1:10" s="2" customFormat="1" ht="14.25" customHeight="1" x14ac:dyDescent="0.25">
      <c r="A362" s="115"/>
      <c r="B362" s="50"/>
      <c r="C362" s="194"/>
      <c r="D362" s="116"/>
      <c r="E362" s="117"/>
      <c r="F362" s="118"/>
      <c r="G362" s="51"/>
      <c r="H362" s="58"/>
      <c r="I362" s="51"/>
      <c r="J362" s="58"/>
    </row>
    <row r="363" spans="1:10" s="2" customFormat="1" ht="14.25" customHeight="1" x14ac:dyDescent="0.25">
      <c r="A363" s="115"/>
      <c r="B363" s="50"/>
      <c r="C363" s="194"/>
      <c r="D363" s="116"/>
      <c r="E363" s="117"/>
      <c r="F363" s="118"/>
      <c r="G363" s="51"/>
      <c r="H363" s="58"/>
      <c r="I363" s="51"/>
      <c r="J363" s="58"/>
    </row>
    <row r="364" spans="1:10" s="2" customFormat="1" ht="14.25" customHeight="1" x14ac:dyDescent="0.25">
      <c r="A364" s="115"/>
      <c r="B364" s="50"/>
      <c r="C364" s="194"/>
      <c r="D364" s="116"/>
      <c r="E364" s="117"/>
      <c r="F364" s="118"/>
      <c r="G364" s="51"/>
      <c r="H364" s="58"/>
      <c r="I364" s="51"/>
      <c r="J364" s="58"/>
    </row>
    <row r="365" spans="1:10" s="2" customFormat="1" ht="14.25" customHeight="1" x14ac:dyDescent="0.25">
      <c r="A365" s="115"/>
      <c r="B365" s="50"/>
      <c r="C365" s="194"/>
      <c r="D365" s="116"/>
      <c r="E365" s="117"/>
      <c r="F365" s="118"/>
      <c r="G365" s="51"/>
      <c r="H365" s="58"/>
      <c r="I365" s="51"/>
      <c r="J365" s="58"/>
    </row>
    <row r="366" spans="1:10" s="2" customFormat="1" ht="14.25" customHeight="1" x14ac:dyDescent="0.25">
      <c r="A366" s="115"/>
      <c r="B366" s="50"/>
      <c r="C366" s="194"/>
      <c r="D366" s="116"/>
      <c r="E366" s="117"/>
      <c r="F366" s="118"/>
      <c r="G366" s="51"/>
      <c r="H366" s="58"/>
      <c r="I366" s="51"/>
      <c r="J366" s="58"/>
    </row>
    <row r="367" spans="1:10" s="2" customFormat="1" ht="14.25" customHeight="1" x14ac:dyDescent="0.25">
      <c r="A367" s="115"/>
      <c r="B367" s="50"/>
      <c r="C367" s="194"/>
      <c r="D367" s="116"/>
      <c r="E367" s="117"/>
      <c r="F367" s="118"/>
      <c r="G367" s="51"/>
      <c r="H367" s="58"/>
      <c r="I367" s="51"/>
      <c r="J367" s="58"/>
    </row>
    <row r="368" spans="1:10" s="2" customFormat="1" ht="14.25" customHeight="1" x14ac:dyDescent="0.25">
      <c r="A368" s="115"/>
      <c r="B368" s="50"/>
      <c r="C368" s="194"/>
      <c r="D368" s="116"/>
      <c r="E368" s="117"/>
      <c r="F368" s="118"/>
      <c r="G368" s="51"/>
      <c r="H368" s="58"/>
      <c r="I368" s="51"/>
      <c r="J368" s="58"/>
    </row>
    <row r="369" spans="1:10" s="2" customFormat="1" ht="14.25" customHeight="1" x14ac:dyDescent="0.25">
      <c r="A369" s="115"/>
      <c r="B369" s="50"/>
      <c r="C369" s="194"/>
      <c r="D369" s="116"/>
      <c r="E369" s="117"/>
      <c r="F369" s="118"/>
      <c r="G369" s="51"/>
      <c r="H369" s="58"/>
      <c r="I369" s="51"/>
      <c r="J369" s="58"/>
    </row>
    <row r="370" spans="1:10" s="2" customFormat="1" ht="14.25" customHeight="1" x14ac:dyDescent="0.25">
      <c r="A370" s="115"/>
      <c r="B370" s="50"/>
      <c r="C370" s="194"/>
      <c r="D370" s="116"/>
      <c r="E370" s="117"/>
      <c r="F370" s="118"/>
      <c r="G370" s="51"/>
      <c r="H370" s="58"/>
      <c r="I370" s="51"/>
      <c r="J370" s="58"/>
    </row>
    <row r="371" spans="1:10" s="2" customFormat="1" ht="14.25" customHeight="1" x14ac:dyDescent="0.25">
      <c r="A371" s="115"/>
      <c r="B371" s="50"/>
      <c r="C371" s="194"/>
      <c r="D371" s="116"/>
      <c r="E371" s="117"/>
      <c r="F371" s="118"/>
      <c r="G371" s="51"/>
      <c r="H371" s="58"/>
      <c r="I371" s="51"/>
      <c r="J371" s="58"/>
    </row>
    <row r="372" spans="1:10" s="2" customFormat="1" ht="14.25" customHeight="1" x14ac:dyDescent="0.25">
      <c r="A372" s="115"/>
      <c r="B372" s="50"/>
      <c r="C372" s="194"/>
      <c r="D372" s="116"/>
      <c r="E372" s="117"/>
      <c r="F372" s="118"/>
      <c r="G372" s="51"/>
      <c r="H372" s="58"/>
      <c r="I372" s="51"/>
      <c r="J372" s="58"/>
    </row>
    <row r="373" spans="1:10" s="2" customFormat="1" ht="14.25" customHeight="1" x14ac:dyDescent="0.25">
      <c r="A373" s="115"/>
      <c r="B373" s="50"/>
      <c r="C373" s="194"/>
      <c r="D373" s="116"/>
      <c r="E373" s="117"/>
      <c r="F373" s="118"/>
      <c r="G373" s="51"/>
      <c r="H373" s="58"/>
      <c r="I373" s="51"/>
      <c r="J373" s="58"/>
    </row>
    <row r="374" spans="1:10" s="2" customFormat="1" ht="14.25" customHeight="1" x14ac:dyDescent="0.25">
      <c r="A374" s="115"/>
      <c r="B374" s="50"/>
      <c r="C374" s="194"/>
      <c r="D374" s="116"/>
      <c r="E374" s="117"/>
      <c r="F374" s="118"/>
      <c r="G374" s="51"/>
      <c r="H374" s="58"/>
      <c r="I374" s="51"/>
      <c r="J374" s="58"/>
    </row>
    <row r="375" spans="1:10" s="2" customFormat="1" ht="14.25" customHeight="1" x14ac:dyDescent="0.25">
      <c r="A375" s="115"/>
      <c r="B375" s="50"/>
      <c r="C375" s="194"/>
      <c r="D375" s="116"/>
      <c r="E375" s="117"/>
      <c r="F375" s="118"/>
      <c r="G375" s="51"/>
      <c r="H375" s="58"/>
      <c r="I375" s="51"/>
      <c r="J375" s="58"/>
    </row>
    <row r="376" spans="1:10" s="2" customFormat="1" ht="14.25" customHeight="1" x14ac:dyDescent="0.25">
      <c r="A376" s="115"/>
      <c r="B376" s="50"/>
      <c r="C376" s="194"/>
      <c r="D376" s="116"/>
      <c r="E376" s="117"/>
      <c r="F376" s="118"/>
      <c r="G376" s="51"/>
      <c r="H376" s="58"/>
      <c r="I376" s="51"/>
      <c r="J376" s="58"/>
    </row>
    <row r="377" spans="1:10" s="2" customFormat="1" ht="14.25" customHeight="1" x14ac:dyDescent="0.25">
      <c r="A377" s="115"/>
      <c r="B377" s="50"/>
      <c r="C377" s="194"/>
      <c r="D377" s="116"/>
      <c r="E377" s="117"/>
      <c r="F377" s="118"/>
      <c r="G377" s="51"/>
      <c r="H377" s="58"/>
      <c r="I377" s="51"/>
      <c r="J377" s="58"/>
    </row>
    <row r="378" spans="1:10" s="2" customFormat="1" ht="14.25" customHeight="1" x14ac:dyDescent="0.25">
      <c r="A378" s="115"/>
      <c r="B378" s="50"/>
      <c r="C378" s="194"/>
      <c r="D378" s="116"/>
      <c r="E378" s="117"/>
      <c r="F378" s="118"/>
      <c r="G378" s="51"/>
      <c r="H378" s="58"/>
      <c r="I378" s="51"/>
      <c r="J378" s="58"/>
    </row>
    <row r="379" spans="1:10" s="2" customFormat="1" ht="14.25" customHeight="1" x14ac:dyDescent="0.25">
      <c r="A379" s="115"/>
      <c r="B379" s="50"/>
      <c r="C379" s="194"/>
      <c r="D379" s="116"/>
      <c r="E379" s="117"/>
      <c r="F379" s="118"/>
      <c r="G379" s="51"/>
      <c r="H379" s="58"/>
      <c r="I379" s="51"/>
      <c r="J379" s="58"/>
    </row>
    <row r="380" spans="1:10" s="2" customFormat="1" ht="14.25" customHeight="1" x14ac:dyDescent="0.25">
      <c r="A380" s="115"/>
      <c r="B380" s="50"/>
      <c r="C380" s="194"/>
      <c r="D380" s="116"/>
      <c r="E380" s="117"/>
      <c r="F380" s="118"/>
      <c r="G380" s="51"/>
      <c r="H380" s="58"/>
      <c r="I380" s="51"/>
      <c r="J380" s="58"/>
    </row>
    <row r="381" spans="1:10" s="2" customFormat="1" ht="14.25" customHeight="1" x14ac:dyDescent="0.25">
      <c r="A381" s="115"/>
      <c r="B381" s="50"/>
      <c r="C381" s="194"/>
      <c r="D381" s="116"/>
      <c r="E381" s="117"/>
      <c r="F381" s="118"/>
      <c r="G381" s="51"/>
      <c r="H381" s="58"/>
      <c r="I381" s="51"/>
      <c r="J381" s="58"/>
    </row>
    <row r="382" spans="1:10" s="2" customFormat="1" ht="14.25" customHeight="1" x14ac:dyDescent="0.25">
      <c r="A382" s="115"/>
      <c r="B382" s="50"/>
      <c r="C382" s="194"/>
      <c r="D382" s="116"/>
      <c r="E382" s="117"/>
      <c r="F382" s="118"/>
      <c r="G382" s="51"/>
      <c r="H382" s="58"/>
      <c r="I382" s="51"/>
      <c r="J382" s="58"/>
    </row>
    <row r="383" spans="1:10" s="2" customFormat="1" ht="14.25" customHeight="1" x14ac:dyDescent="0.25">
      <c r="A383" s="115"/>
      <c r="B383" s="50"/>
      <c r="C383" s="194"/>
      <c r="D383" s="116"/>
      <c r="E383" s="117"/>
      <c r="F383" s="118"/>
      <c r="G383" s="51"/>
      <c r="H383" s="58"/>
      <c r="I383" s="51"/>
      <c r="J383" s="58"/>
    </row>
    <row r="384" spans="1:10" s="2" customFormat="1" ht="14.25" customHeight="1" x14ac:dyDescent="0.25">
      <c r="A384" s="115"/>
      <c r="B384" s="50"/>
      <c r="C384" s="194"/>
      <c r="D384" s="116"/>
      <c r="E384" s="117"/>
      <c r="F384" s="118"/>
      <c r="G384" s="51"/>
      <c r="H384" s="58"/>
      <c r="I384" s="51"/>
      <c r="J384" s="58"/>
    </row>
    <row r="385" spans="1:10" s="2" customFormat="1" ht="14.25" customHeight="1" x14ac:dyDescent="0.25">
      <c r="A385" s="115"/>
      <c r="B385" s="50"/>
      <c r="C385" s="194"/>
      <c r="D385" s="116"/>
      <c r="E385" s="117"/>
      <c r="F385" s="118"/>
      <c r="G385" s="51"/>
      <c r="H385" s="58"/>
      <c r="I385" s="51"/>
      <c r="J385" s="58"/>
    </row>
    <row r="386" spans="1:10" s="2" customFormat="1" ht="14.25" customHeight="1" x14ac:dyDescent="0.25">
      <c r="A386" s="115"/>
      <c r="B386" s="50"/>
      <c r="C386" s="194"/>
      <c r="D386" s="116"/>
      <c r="E386" s="117"/>
      <c r="F386" s="118"/>
      <c r="G386" s="51"/>
      <c r="H386" s="58"/>
      <c r="I386" s="51"/>
      <c r="J386" s="58"/>
    </row>
    <row r="387" spans="1:10" s="2" customFormat="1" ht="14.25" customHeight="1" x14ac:dyDescent="0.25">
      <c r="A387" s="115"/>
      <c r="B387" s="50"/>
      <c r="C387" s="194"/>
      <c r="D387" s="116"/>
      <c r="E387" s="117"/>
      <c r="F387" s="118"/>
      <c r="G387" s="51"/>
      <c r="H387" s="58"/>
      <c r="I387" s="51"/>
      <c r="J387" s="58"/>
    </row>
    <row r="388" spans="1:10" s="2" customFormat="1" ht="14.25" customHeight="1" x14ac:dyDescent="0.25">
      <c r="A388" s="115"/>
      <c r="B388" s="50"/>
      <c r="C388" s="194"/>
      <c r="D388" s="116"/>
      <c r="E388" s="117"/>
      <c r="F388" s="118"/>
      <c r="G388" s="51"/>
      <c r="H388" s="58"/>
      <c r="I388" s="51"/>
      <c r="J388" s="58"/>
    </row>
    <row r="389" spans="1:10" s="2" customFormat="1" ht="14.25" customHeight="1" x14ac:dyDescent="0.25">
      <c r="A389" s="115"/>
      <c r="B389" s="50"/>
      <c r="C389" s="194"/>
      <c r="D389" s="116"/>
      <c r="E389" s="117"/>
      <c r="F389" s="118"/>
      <c r="G389" s="51"/>
      <c r="H389" s="58"/>
      <c r="I389" s="51"/>
      <c r="J389" s="58"/>
    </row>
    <row r="390" spans="1:10" s="2" customFormat="1" ht="14.25" customHeight="1" x14ac:dyDescent="0.25">
      <c r="A390" s="115"/>
      <c r="B390" s="50"/>
      <c r="C390" s="194"/>
      <c r="D390" s="116"/>
      <c r="E390" s="117"/>
      <c r="F390" s="118"/>
      <c r="G390" s="51"/>
      <c r="H390" s="58"/>
      <c r="I390" s="51"/>
      <c r="J390" s="58"/>
    </row>
    <row r="391" spans="1:10" s="2" customFormat="1" ht="14.25" customHeight="1" x14ac:dyDescent="0.25">
      <c r="A391" s="115"/>
      <c r="B391" s="50"/>
      <c r="C391" s="194"/>
      <c r="D391" s="116"/>
      <c r="E391" s="117"/>
      <c r="F391" s="118"/>
      <c r="G391" s="51"/>
      <c r="H391" s="58"/>
      <c r="I391" s="51"/>
      <c r="J391" s="58"/>
    </row>
    <row r="392" spans="1:10" s="2" customFormat="1" ht="14.25" customHeight="1" x14ac:dyDescent="0.25">
      <c r="A392" s="115"/>
      <c r="B392" s="50"/>
      <c r="C392" s="194"/>
      <c r="D392" s="116"/>
      <c r="E392" s="117"/>
      <c r="F392" s="118"/>
      <c r="G392" s="51"/>
      <c r="H392" s="58"/>
      <c r="I392" s="51"/>
      <c r="J392" s="58"/>
    </row>
    <row r="393" spans="1:10" s="2" customFormat="1" ht="14.25" customHeight="1" x14ac:dyDescent="0.25">
      <c r="A393" s="115"/>
      <c r="B393" s="50"/>
      <c r="C393" s="194"/>
      <c r="D393" s="116"/>
      <c r="E393" s="117"/>
      <c r="F393" s="118"/>
      <c r="G393" s="51"/>
      <c r="H393" s="58"/>
      <c r="I393" s="51"/>
      <c r="J393" s="58"/>
    </row>
    <row r="394" spans="1:10" s="2" customFormat="1" ht="14.25" customHeight="1" x14ac:dyDescent="0.25">
      <c r="A394" s="115"/>
      <c r="B394" s="50"/>
      <c r="C394" s="194"/>
      <c r="D394" s="116"/>
      <c r="E394" s="117"/>
      <c r="F394" s="118"/>
      <c r="G394" s="51"/>
      <c r="H394" s="58"/>
      <c r="I394" s="51"/>
      <c r="J394" s="58"/>
    </row>
    <row r="395" spans="1:10" s="2" customFormat="1" ht="14.25" customHeight="1" x14ac:dyDescent="0.25">
      <c r="A395" s="115"/>
      <c r="B395" s="50"/>
      <c r="C395" s="194"/>
      <c r="D395" s="116"/>
      <c r="E395" s="117"/>
      <c r="F395" s="118"/>
      <c r="G395" s="51"/>
      <c r="H395" s="58"/>
      <c r="I395" s="51"/>
      <c r="J395" s="58"/>
    </row>
    <row r="396" spans="1:10" s="2" customFormat="1" ht="14.25" customHeight="1" x14ac:dyDescent="0.25">
      <c r="A396" s="115"/>
      <c r="B396" s="50"/>
      <c r="C396" s="194"/>
      <c r="D396" s="116"/>
      <c r="E396" s="117"/>
      <c r="F396" s="118"/>
      <c r="G396" s="51"/>
      <c r="H396" s="58"/>
      <c r="I396" s="51"/>
      <c r="J396" s="58"/>
    </row>
    <row r="397" spans="1:10" s="2" customFormat="1" ht="14.25" customHeight="1" x14ac:dyDescent="0.25">
      <c r="A397" s="115"/>
      <c r="B397" s="50"/>
      <c r="C397" s="194"/>
      <c r="D397" s="116"/>
      <c r="E397" s="117"/>
      <c r="F397" s="118"/>
      <c r="G397" s="51"/>
      <c r="H397" s="58"/>
      <c r="I397" s="51"/>
      <c r="J397" s="58"/>
    </row>
    <row r="398" spans="1:10" s="2" customFormat="1" ht="14.25" customHeight="1" x14ac:dyDescent="0.25">
      <c r="A398" s="115"/>
      <c r="B398" s="50"/>
      <c r="C398" s="194"/>
      <c r="D398" s="116"/>
      <c r="E398" s="117"/>
      <c r="F398" s="118"/>
      <c r="G398" s="51"/>
      <c r="H398" s="58"/>
      <c r="I398" s="51"/>
      <c r="J398" s="58"/>
    </row>
    <row r="399" spans="1:10" s="2" customFormat="1" ht="14.25" customHeight="1" x14ac:dyDescent="0.25">
      <c r="A399" s="115"/>
      <c r="B399" s="50"/>
      <c r="C399" s="194"/>
      <c r="D399" s="116"/>
      <c r="E399" s="117"/>
      <c r="F399" s="118"/>
      <c r="G399" s="51"/>
      <c r="H399" s="58"/>
      <c r="I399" s="51"/>
      <c r="J399" s="58"/>
    </row>
    <row r="400" spans="1:10" s="2" customFormat="1" ht="14.25" customHeight="1" x14ac:dyDescent="0.25">
      <c r="A400" s="115"/>
      <c r="B400" s="50"/>
      <c r="C400" s="194"/>
      <c r="D400" s="116"/>
      <c r="E400" s="117"/>
      <c r="F400" s="118"/>
      <c r="G400" s="51"/>
      <c r="H400" s="58"/>
      <c r="I400" s="51"/>
      <c r="J400" s="58"/>
    </row>
    <row r="401" spans="1:10" s="2" customFormat="1" ht="14.25" customHeight="1" x14ac:dyDescent="0.25">
      <c r="A401" s="115"/>
      <c r="B401" s="50"/>
      <c r="C401" s="194"/>
      <c r="D401" s="116"/>
      <c r="E401" s="117"/>
      <c r="F401" s="118"/>
      <c r="G401" s="51"/>
      <c r="H401" s="58"/>
      <c r="I401" s="51"/>
      <c r="J401" s="58"/>
    </row>
    <row r="402" spans="1:10" s="2" customFormat="1" ht="14.25" customHeight="1" x14ac:dyDescent="0.25">
      <c r="A402" s="115"/>
      <c r="B402" s="50"/>
      <c r="C402" s="194"/>
      <c r="D402" s="116"/>
      <c r="E402" s="117"/>
      <c r="F402" s="118"/>
      <c r="G402" s="51"/>
      <c r="H402" s="58"/>
      <c r="I402" s="51"/>
      <c r="J402" s="58"/>
    </row>
    <row r="403" spans="1:10" s="2" customFormat="1" ht="14.25" customHeight="1" x14ac:dyDescent="0.25">
      <c r="A403" s="115"/>
      <c r="B403" s="50"/>
      <c r="C403" s="194"/>
      <c r="D403" s="116"/>
      <c r="E403" s="117"/>
      <c r="F403" s="118"/>
      <c r="G403" s="51"/>
      <c r="H403" s="58"/>
      <c r="I403" s="51"/>
      <c r="J403" s="58"/>
    </row>
    <row r="404" spans="1:10" s="2" customFormat="1" ht="14.25" customHeight="1" x14ac:dyDescent="0.25">
      <c r="A404" s="115"/>
      <c r="B404" s="50"/>
      <c r="C404" s="194"/>
      <c r="D404" s="116"/>
      <c r="E404" s="117"/>
      <c r="F404" s="118"/>
      <c r="G404" s="51"/>
      <c r="H404" s="58"/>
      <c r="I404" s="51"/>
      <c r="J404" s="58"/>
    </row>
    <row r="405" spans="1:10" s="2" customFormat="1" ht="14.25" customHeight="1" x14ac:dyDescent="0.25">
      <c r="A405" s="115"/>
      <c r="B405" s="50"/>
      <c r="C405" s="194"/>
      <c r="D405" s="116"/>
      <c r="E405" s="117"/>
      <c r="F405" s="118"/>
      <c r="G405" s="51"/>
      <c r="H405" s="58"/>
      <c r="I405" s="51"/>
      <c r="J405" s="58"/>
    </row>
    <row r="406" spans="1:10" s="2" customFormat="1" ht="14.25" customHeight="1" x14ac:dyDescent="0.25">
      <c r="A406" s="115"/>
      <c r="B406" s="50"/>
      <c r="C406" s="194"/>
      <c r="D406" s="116"/>
      <c r="E406" s="117"/>
      <c r="F406" s="118"/>
      <c r="G406" s="51"/>
      <c r="H406" s="58"/>
      <c r="I406" s="51"/>
      <c r="J406" s="58"/>
    </row>
    <row r="407" spans="1:10" s="2" customFormat="1" ht="14.25" customHeight="1" x14ac:dyDescent="0.25">
      <c r="A407" s="115"/>
      <c r="B407" s="50"/>
      <c r="C407" s="194"/>
      <c r="D407" s="116"/>
      <c r="E407" s="117"/>
      <c r="F407" s="118"/>
      <c r="G407" s="51"/>
      <c r="H407" s="58"/>
      <c r="I407" s="51"/>
      <c r="J407" s="58"/>
    </row>
    <row r="408" spans="1:10" s="2" customFormat="1" ht="14.25" customHeight="1" x14ac:dyDescent="0.25">
      <c r="A408" s="115"/>
      <c r="B408" s="50"/>
      <c r="C408" s="194"/>
      <c r="D408" s="116"/>
      <c r="E408" s="117"/>
      <c r="F408" s="118"/>
      <c r="G408" s="51"/>
      <c r="H408" s="58"/>
      <c r="I408" s="51"/>
      <c r="J408" s="58"/>
    </row>
    <row r="409" spans="1:10" s="2" customFormat="1" ht="14.25" customHeight="1" x14ac:dyDescent="0.25">
      <c r="A409" s="115"/>
      <c r="B409" s="50"/>
      <c r="C409" s="194"/>
      <c r="D409" s="116"/>
      <c r="E409" s="117"/>
      <c r="F409" s="118"/>
      <c r="G409" s="51"/>
      <c r="H409" s="58"/>
      <c r="I409" s="51"/>
      <c r="J409" s="58"/>
    </row>
    <row r="410" spans="1:10" s="2" customFormat="1" ht="14.25" customHeight="1" x14ac:dyDescent="0.25">
      <c r="A410" s="115"/>
      <c r="B410" s="50"/>
      <c r="C410" s="194"/>
      <c r="D410" s="116"/>
      <c r="E410" s="117"/>
      <c r="F410" s="118"/>
      <c r="G410" s="51"/>
      <c r="H410" s="58"/>
      <c r="I410" s="51"/>
      <c r="J410" s="58"/>
    </row>
    <row r="411" spans="1:10" s="2" customFormat="1" ht="14.25" customHeight="1" x14ac:dyDescent="0.25">
      <c r="A411" s="115"/>
      <c r="B411" s="50"/>
      <c r="C411" s="194"/>
      <c r="D411" s="116"/>
      <c r="E411" s="117"/>
      <c r="F411" s="118"/>
      <c r="G411" s="51"/>
      <c r="H411" s="58"/>
      <c r="I411" s="51"/>
      <c r="J411" s="58"/>
    </row>
    <row r="412" spans="1:10" s="2" customFormat="1" ht="14.25" customHeight="1" x14ac:dyDescent="0.25">
      <c r="A412" s="115"/>
      <c r="B412" s="50"/>
      <c r="C412" s="194"/>
      <c r="D412" s="116"/>
      <c r="E412" s="117"/>
      <c r="F412" s="118"/>
      <c r="G412" s="51"/>
      <c r="H412" s="58"/>
      <c r="I412" s="51"/>
      <c r="J412" s="58"/>
    </row>
    <row r="413" spans="1:10" s="2" customFormat="1" ht="14.25" customHeight="1" x14ac:dyDescent="0.25">
      <c r="A413" s="115"/>
      <c r="B413" s="50"/>
      <c r="C413" s="194"/>
      <c r="D413" s="116"/>
      <c r="E413" s="117"/>
      <c r="F413" s="118"/>
      <c r="G413" s="51"/>
      <c r="H413" s="58"/>
      <c r="I413" s="51"/>
      <c r="J413" s="58"/>
    </row>
    <row r="414" spans="1:10" s="2" customFormat="1" ht="14.25" customHeight="1" x14ac:dyDescent="0.25">
      <c r="A414" s="115"/>
      <c r="B414" s="50"/>
      <c r="C414" s="194"/>
      <c r="D414" s="116"/>
      <c r="E414" s="117"/>
      <c r="F414" s="118"/>
      <c r="G414" s="51"/>
      <c r="H414" s="58"/>
      <c r="I414" s="51"/>
      <c r="J414" s="58"/>
    </row>
    <row r="415" spans="1:10" s="2" customFormat="1" ht="14.25" customHeight="1" x14ac:dyDescent="0.25">
      <c r="A415" s="115"/>
      <c r="B415" s="50"/>
      <c r="C415" s="194"/>
      <c r="D415" s="116"/>
      <c r="E415" s="117"/>
      <c r="F415" s="118"/>
      <c r="G415" s="51"/>
      <c r="H415" s="58"/>
      <c r="I415" s="51"/>
      <c r="J415" s="58"/>
    </row>
    <row r="416" spans="1:10" s="2" customFormat="1" ht="14.25" customHeight="1" x14ac:dyDescent="0.25">
      <c r="A416" s="115"/>
      <c r="B416" s="50"/>
      <c r="C416" s="194"/>
      <c r="D416" s="116"/>
      <c r="E416" s="117"/>
      <c r="F416" s="118"/>
      <c r="G416" s="51"/>
      <c r="H416" s="58"/>
      <c r="I416" s="51"/>
      <c r="J416" s="58"/>
    </row>
    <row r="417" spans="1:10" s="2" customFormat="1" ht="14.25" customHeight="1" x14ac:dyDescent="0.25">
      <c r="A417" s="115"/>
      <c r="B417" s="50"/>
      <c r="C417" s="194"/>
      <c r="D417" s="116"/>
      <c r="E417" s="117"/>
      <c r="F417" s="118"/>
      <c r="G417" s="51"/>
      <c r="H417" s="58"/>
      <c r="I417" s="51"/>
      <c r="J417" s="58"/>
    </row>
    <row r="418" spans="1:10" s="2" customFormat="1" ht="14.25" customHeight="1" x14ac:dyDescent="0.25">
      <c r="A418" s="115"/>
      <c r="B418" s="50"/>
      <c r="C418" s="194"/>
      <c r="D418" s="116"/>
      <c r="E418" s="117"/>
      <c r="F418" s="118"/>
      <c r="G418" s="51"/>
      <c r="H418" s="58"/>
      <c r="I418" s="51"/>
      <c r="J418" s="58"/>
    </row>
    <row r="419" spans="1:10" s="2" customFormat="1" ht="14.25" customHeight="1" x14ac:dyDescent="0.25">
      <c r="A419" s="115"/>
      <c r="B419" s="50"/>
      <c r="C419" s="194"/>
      <c r="D419" s="116"/>
      <c r="E419" s="117"/>
      <c r="F419" s="118"/>
      <c r="G419" s="51"/>
      <c r="H419" s="58"/>
      <c r="I419" s="51"/>
      <c r="J419" s="58"/>
    </row>
    <row r="420" spans="1:10" s="2" customFormat="1" ht="14.25" customHeight="1" x14ac:dyDescent="0.25">
      <c r="A420" s="115"/>
      <c r="B420" s="50"/>
      <c r="C420" s="194"/>
      <c r="D420" s="116"/>
      <c r="E420" s="117"/>
      <c r="F420" s="118"/>
      <c r="G420" s="51"/>
      <c r="H420" s="58"/>
      <c r="I420" s="51"/>
      <c r="J420" s="58"/>
    </row>
    <row r="421" spans="1:10" s="2" customFormat="1" ht="14.25" customHeight="1" x14ac:dyDescent="0.25">
      <c r="A421" s="115"/>
      <c r="B421" s="50"/>
      <c r="C421" s="194"/>
      <c r="D421" s="116"/>
      <c r="E421" s="117"/>
      <c r="F421" s="118"/>
      <c r="G421" s="51"/>
      <c r="H421" s="58"/>
      <c r="I421" s="51"/>
      <c r="J421" s="58"/>
    </row>
    <row r="422" spans="1:10" s="2" customFormat="1" ht="14.25" customHeight="1" x14ac:dyDescent="0.25">
      <c r="A422" s="115"/>
      <c r="B422" s="50"/>
      <c r="C422" s="194"/>
      <c r="D422" s="116"/>
      <c r="E422" s="117"/>
      <c r="F422" s="118"/>
      <c r="G422" s="51"/>
      <c r="H422" s="58"/>
      <c r="I422" s="51"/>
      <c r="J422" s="58"/>
    </row>
    <row r="423" spans="1:10" s="2" customFormat="1" ht="14.25" customHeight="1" x14ac:dyDescent="0.25">
      <c r="A423" s="115"/>
      <c r="B423" s="50"/>
      <c r="C423" s="194"/>
      <c r="D423" s="116"/>
      <c r="E423" s="117"/>
      <c r="F423" s="118"/>
      <c r="G423" s="51"/>
      <c r="H423" s="58"/>
      <c r="I423" s="51"/>
      <c r="J423" s="58"/>
    </row>
    <row r="424" spans="1:10" s="2" customFormat="1" ht="14.25" customHeight="1" x14ac:dyDescent="0.25">
      <c r="A424" s="115"/>
      <c r="B424" s="50"/>
      <c r="C424" s="194"/>
      <c r="D424" s="116"/>
      <c r="E424" s="117"/>
      <c r="F424" s="118"/>
      <c r="G424" s="51"/>
      <c r="H424" s="58"/>
      <c r="I424" s="51"/>
      <c r="J424" s="58"/>
    </row>
    <row r="425" spans="1:10" s="2" customFormat="1" ht="14.25" customHeight="1" x14ac:dyDescent="0.25">
      <c r="A425" s="115"/>
      <c r="B425" s="50"/>
      <c r="C425" s="194"/>
      <c r="D425" s="116"/>
      <c r="E425" s="117"/>
      <c r="F425" s="118"/>
      <c r="G425" s="51"/>
      <c r="H425" s="58"/>
      <c r="I425" s="51"/>
      <c r="J425" s="58"/>
    </row>
    <row r="426" spans="1:10" s="2" customFormat="1" ht="14.25" customHeight="1" x14ac:dyDescent="0.25">
      <c r="A426" s="115"/>
      <c r="B426" s="50"/>
      <c r="C426" s="194"/>
      <c r="D426" s="116"/>
      <c r="E426" s="117"/>
      <c r="F426" s="118"/>
      <c r="G426" s="51"/>
      <c r="H426" s="58"/>
      <c r="I426" s="51"/>
      <c r="J426" s="58"/>
    </row>
    <row r="427" spans="1:10" s="2" customFormat="1" ht="14.25" customHeight="1" x14ac:dyDescent="0.25">
      <c r="A427" s="115"/>
      <c r="B427" s="50"/>
      <c r="C427" s="194"/>
      <c r="D427" s="116"/>
      <c r="E427" s="117"/>
      <c r="F427" s="118"/>
      <c r="G427" s="51"/>
      <c r="H427" s="58"/>
      <c r="I427" s="51"/>
      <c r="J427" s="58"/>
    </row>
    <row r="428" spans="1:10" s="2" customFormat="1" ht="14.25" customHeight="1" x14ac:dyDescent="0.25">
      <c r="A428" s="115"/>
      <c r="B428" s="50"/>
      <c r="C428" s="194"/>
      <c r="D428" s="116"/>
      <c r="E428" s="117"/>
      <c r="F428" s="118"/>
      <c r="G428" s="51"/>
      <c r="H428" s="58"/>
      <c r="I428" s="51"/>
      <c r="J428" s="58"/>
    </row>
    <row r="429" spans="1:10" s="2" customFormat="1" ht="14.25" customHeight="1" x14ac:dyDescent="0.25">
      <c r="A429" s="115"/>
      <c r="B429" s="50"/>
      <c r="C429" s="194"/>
      <c r="D429" s="116"/>
      <c r="E429" s="117"/>
      <c r="F429" s="118"/>
      <c r="G429" s="51"/>
      <c r="H429" s="58"/>
      <c r="I429" s="51"/>
      <c r="J429" s="58"/>
    </row>
    <row r="430" spans="1:10" s="2" customFormat="1" ht="14.25" customHeight="1" x14ac:dyDescent="0.25">
      <c r="A430" s="115"/>
      <c r="B430" s="50"/>
      <c r="C430" s="194"/>
      <c r="D430" s="116"/>
      <c r="E430" s="117"/>
      <c r="F430" s="118"/>
      <c r="G430" s="51"/>
      <c r="H430" s="58"/>
      <c r="I430" s="51"/>
      <c r="J430" s="58"/>
    </row>
    <row r="431" spans="1:10" s="2" customFormat="1" ht="14.25" customHeight="1" x14ac:dyDescent="0.25">
      <c r="A431" s="115"/>
      <c r="B431" s="50"/>
      <c r="C431" s="194"/>
      <c r="D431" s="116"/>
      <c r="E431" s="117"/>
      <c r="F431" s="118"/>
      <c r="G431" s="51"/>
      <c r="H431" s="58"/>
      <c r="I431" s="51"/>
      <c r="J431" s="58"/>
    </row>
    <row r="432" spans="1:10" s="2" customFormat="1" ht="14.25" customHeight="1" x14ac:dyDescent="0.25">
      <c r="A432" s="115"/>
      <c r="B432" s="50"/>
      <c r="C432" s="194"/>
      <c r="D432" s="116"/>
      <c r="E432" s="117"/>
      <c r="F432" s="118"/>
      <c r="G432" s="51"/>
      <c r="H432" s="58"/>
      <c r="I432" s="51"/>
      <c r="J432" s="58"/>
    </row>
    <row r="433" spans="1:10" s="2" customFormat="1" ht="14.25" customHeight="1" x14ac:dyDescent="0.25">
      <c r="A433" s="115"/>
      <c r="B433" s="50"/>
      <c r="C433" s="194"/>
      <c r="D433" s="116"/>
      <c r="E433" s="117"/>
      <c r="F433" s="118"/>
      <c r="G433" s="51"/>
      <c r="H433" s="58"/>
      <c r="I433" s="51"/>
      <c r="J433" s="58"/>
    </row>
    <row r="434" spans="1:10" s="2" customFormat="1" ht="14.25" customHeight="1" x14ac:dyDescent="0.25">
      <c r="A434" s="115"/>
      <c r="B434" s="50"/>
      <c r="C434" s="194"/>
      <c r="D434" s="116"/>
      <c r="E434" s="117"/>
      <c r="F434" s="118"/>
      <c r="G434" s="51"/>
      <c r="H434" s="58"/>
      <c r="I434" s="51"/>
      <c r="J434" s="58"/>
    </row>
    <row r="435" spans="1:10" s="2" customFormat="1" ht="14.25" customHeight="1" x14ac:dyDescent="0.25">
      <c r="A435" s="115"/>
      <c r="B435" s="50"/>
      <c r="C435" s="194"/>
      <c r="D435" s="116"/>
      <c r="E435" s="117"/>
      <c r="F435" s="118"/>
      <c r="G435" s="51"/>
      <c r="H435" s="58"/>
      <c r="I435" s="51"/>
      <c r="J435" s="58"/>
    </row>
    <row r="436" spans="1:10" s="2" customFormat="1" ht="14.25" customHeight="1" x14ac:dyDescent="0.25">
      <c r="A436" s="115"/>
      <c r="B436" s="50"/>
      <c r="C436" s="194"/>
      <c r="D436" s="116"/>
      <c r="E436" s="117"/>
      <c r="F436" s="118"/>
      <c r="G436" s="51"/>
      <c r="H436" s="58"/>
      <c r="I436" s="51"/>
      <c r="J436" s="58"/>
    </row>
    <row r="437" spans="1:10" s="2" customFormat="1" ht="14.25" customHeight="1" x14ac:dyDescent="0.25">
      <c r="A437" s="115"/>
      <c r="B437" s="50"/>
      <c r="C437" s="194"/>
      <c r="D437" s="116"/>
      <c r="E437" s="117"/>
      <c r="F437" s="118"/>
      <c r="G437" s="51"/>
      <c r="H437" s="58"/>
      <c r="I437" s="51"/>
      <c r="J437" s="58"/>
    </row>
    <row r="438" spans="1:10" s="2" customFormat="1" ht="14.25" customHeight="1" x14ac:dyDescent="0.25">
      <c r="A438" s="115"/>
      <c r="B438" s="50"/>
      <c r="C438" s="194"/>
      <c r="D438" s="116"/>
      <c r="E438" s="117"/>
      <c r="F438" s="118"/>
      <c r="G438" s="51"/>
      <c r="H438" s="58"/>
      <c r="I438" s="51"/>
      <c r="J438" s="58"/>
    </row>
    <row r="439" spans="1:10" s="2" customFormat="1" ht="14.25" customHeight="1" x14ac:dyDescent="0.25">
      <c r="A439" s="115"/>
      <c r="B439" s="50"/>
      <c r="C439" s="194"/>
      <c r="D439" s="116"/>
      <c r="E439" s="117"/>
      <c r="F439" s="118"/>
      <c r="G439" s="51"/>
      <c r="H439" s="58"/>
      <c r="I439" s="51"/>
      <c r="J439" s="58"/>
    </row>
    <row r="440" spans="1:10" s="2" customFormat="1" ht="14.25" customHeight="1" x14ac:dyDescent="0.25">
      <c r="A440" s="115"/>
      <c r="B440" s="50"/>
      <c r="C440" s="194"/>
      <c r="D440" s="116"/>
      <c r="E440" s="117"/>
      <c r="F440" s="118"/>
      <c r="G440" s="51"/>
      <c r="H440" s="58"/>
      <c r="I440" s="51"/>
      <c r="J440" s="58"/>
    </row>
    <row r="441" spans="1:10" s="2" customFormat="1" ht="14.25" customHeight="1" x14ac:dyDescent="0.25">
      <c r="A441" s="115"/>
      <c r="B441" s="50"/>
      <c r="C441" s="194"/>
      <c r="D441" s="116"/>
      <c r="E441" s="117"/>
      <c r="F441" s="118"/>
      <c r="G441" s="51"/>
      <c r="H441" s="58"/>
      <c r="I441" s="51"/>
      <c r="J441" s="58"/>
    </row>
    <row r="442" spans="1:10" s="2" customFormat="1" ht="14.25" customHeight="1" x14ac:dyDescent="0.25">
      <c r="A442" s="115"/>
      <c r="B442" s="50"/>
      <c r="C442" s="194"/>
      <c r="D442" s="116"/>
      <c r="E442" s="117"/>
      <c r="F442" s="118"/>
      <c r="G442" s="51"/>
      <c r="H442" s="58"/>
      <c r="I442" s="51"/>
      <c r="J442" s="58"/>
    </row>
    <row r="443" spans="1:10" s="2" customFormat="1" ht="14.25" customHeight="1" x14ac:dyDescent="0.25">
      <c r="A443" s="115"/>
      <c r="B443" s="50"/>
      <c r="C443" s="194"/>
      <c r="D443" s="116"/>
      <c r="E443" s="117"/>
      <c r="F443" s="118"/>
      <c r="G443" s="51"/>
      <c r="H443" s="58"/>
      <c r="I443" s="51"/>
      <c r="J443" s="58"/>
    </row>
    <row r="444" spans="1:10" s="2" customFormat="1" ht="14.25" customHeight="1" x14ac:dyDescent="0.25">
      <c r="A444" s="115"/>
      <c r="B444" s="50"/>
      <c r="C444" s="194"/>
      <c r="D444" s="116"/>
      <c r="E444" s="117"/>
      <c r="F444" s="118"/>
      <c r="G444" s="51"/>
      <c r="H444" s="58"/>
      <c r="I444" s="51"/>
      <c r="J444" s="58"/>
    </row>
    <row r="445" spans="1:10" s="2" customFormat="1" ht="14.25" customHeight="1" x14ac:dyDescent="0.25">
      <c r="A445" s="115"/>
      <c r="B445" s="50"/>
      <c r="C445" s="194"/>
      <c r="D445" s="116"/>
      <c r="E445" s="117"/>
      <c r="F445" s="118"/>
      <c r="G445" s="51"/>
      <c r="H445" s="58"/>
      <c r="I445" s="51"/>
      <c r="J445" s="58"/>
    </row>
    <row r="446" spans="1:10" s="2" customFormat="1" ht="14.25" customHeight="1" x14ac:dyDescent="0.25">
      <c r="A446" s="115"/>
      <c r="B446" s="50"/>
      <c r="C446" s="194"/>
      <c r="D446" s="116"/>
      <c r="E446" s="117"/>
      <c r="F446" s="118"/>
      <c r="G446" s="51"/>
      <c r="H446" s="58"/>
      <c r="I446" s="51"/>
      <c r="J446" s="58"/>
    </row>
    <row r="447" spans="1:10" s="2" customFormat="1" ht="14.25" customHeight="1" x14ac:dyDescent="0.25">
      <c r="A447" s="115"/>
      <c r="B447" s="50"/>
      <c r="C447" s="194"/>
      <c r="D447" s="116"/>
      <c r="E447" s="117"/>
      <c r="F447" s="118"/>
      <c r="G447" s="51"/>
      <c r="H447" s="58"/>
      <c r="I447" s="51"/>
      <c r="J447" s="58"/>
    </row>
    <row r="448" spans="1:10" s="2" customFormat="1" ht="14.25" customHeight="1" x14ac:dyDescent="0.25">
      <c r="A448" s="115"/>
      <c r="B448" s="50"/>
      <c r="C448" s="194"/>
      <c r="D448" s="116"/>
      <c r="E448" s="117"/>
      <c r="F448" s="118"/>
      <c r="G448" s="51"/>
      <c r="H448" s="58"/>
      <c r="I448" s="51"/>
      <c r="J448" s="58"/>
    </row>
    <row r="449" spans="1:10" s="2" customFormat="1" ht="14.25" customHeight="1" x14ac:dyDescent="0.25">
      <c r="A449" s="115"/>
      <c r="B449" s="50"/>
      <c r="C449" s="194"/>
      <c r="D449" s="116"/>
      <c r="E449" s="117"/>
      <c r="F449" s="118"/>
      <c r="G449" s="51"/>
      <c r="H449" s="58"/>
      <c r="I449" s="51"/>
      <c r="J449" s="58"/>
    </row>
    <row r="450" spans="1:10" s="2" customFormat="1" ht="14.25" customHeight="1" x14ac:dyDescent="0.25">
      <c r="A450" s="115"/>
      <c r="B450" s="50"/>
      <c r="C450" s="194"/>
      <c r="D450" s="116"/>
      <c r="E450" s="117"/>
      <c r="F450" s="118"/>
      <c r="G450" s="51"/>
      <c r="H450" s="58"/>
      <c r="I450" s="51"/>
      <c r="J450" s="58"/>
    </row>
    <row r="451" spans="1:10" s="2" customFormat="1" ht="14.25" customHeight="1" x14ac:dyDescent="0.25">
      <c r="A451" s="115"/>
      <c r="B451" s="50"/>
      <c r="C451" s="194"/>
      <c r="D451" s="116"/>
      <c r="E451" s="117"/>
      <c r="F451" s="118"/>
      <c r="G451" s="51"/>
      <c r="H451" s="58"/>
      <c r="I451" s="51"/>
      <c r="J451" s="58"/>
    </row>
    <row r="452" spans="1:10" s="2" customFormat="1" ht="14.25" customHeight="1" x14ac:dyDescent="0.25">
      <c r="A452" s="115"/>
      <c r="B452" s="50"/>
      <c r="C452" s="194"/>
      <c r="D452" s="116"/>
      <c r="E452" s="117"/>
      <c r="F452" s="118"/>
      <c r="G452" s="51"/>
      <c r="H452" s="58"/>
      <c r="I452" s="51"/>
      <c r="J452" s="58"/>
    </row>
    <row r="453" spans="1:10" s="2" customFormat="1" ht="14.25" customHeight="1" x14ac:dyDescent="0.25">
      <c r="A453" s="115"/>
      <c r="B453" s="50"/>
      <c r="C453" s="194"/>
      <c r="D453" s="116"/>
      <c r="E453" s="117"/>
      <c r="F453" s="118"/>
      <c r="G453" s="51"/>
      <c r="H453" s="58"/>
      <c r="I453" s="51"/>
      <c r="J453" s="58"/>
    </row>
    <row r="454" spans="1:10" x14ac:dyDescent="0.25">
      <c r="A454" t="s">
        <v>26</v>
      </c>
      <c r="B454" t="s">
        <v>28</v>
      </c>
      <c r="D454" t="s">
        <v>31</v>
      </c>
    </row>
    <row r="456" spans="1:10" x14ac:dyDescent="0.25">
      <c r="A456" t="s">
        <v>27</v>
      </c>
      <c r="B456" t="s">
        <v>29</v>
      </c>
      <c r="D456" t="s">
        <v>32</v>
      </c>
    </row>
    <row r="457" spans="1:10" x14ac:dyDescent="0.25">
      <c r="A457" t="s">
        <v>223</v>
      </c>
      <c r="B457" t="s">
        <v>30</v>
      </c>
      <c r="D457" t="s">
        <v>33</v>
      </c>
    </row>
  </sheetData>
  <mergeCells count="52">
    <mergeCell ref="A1:J1"/>
    <mergeCell ref="A2:J2"/>
    <mergeCell ref="A4:J4"/>
    <mergeCell ref="B324:B343"/>
    <mergeCell ref="A324:A343"/>
    <mergeCell ref="E7:F7"/>
    <mergeCell ref="I7:J7"/>
    <mergeCell ref="A241:A242"/>
    <mergeCell ref="B238:B264"/>
    <mergeCell ref="A269:A270"/>
    <mergeCell ref="C266:C267"/>
    <mergeCell ref="A266:A267"/>
    <mergeCell ref="B303:B311"/>
    <mergeCell ref="B312:B320"/>
    <mergeCell ref="A210:A211"/>
    <mergeCell ref="C79:C80"/>
    <mergeCell ref="A107:A108"/>
    <mergeCell ref="B107:B110"/>
    <mergeCell ref="C107:C109"/>
    <mergeCell ref="A110:A111"/>
    <mergeCell ref="A82:A83"/>
    <mergeCell ref="B79:B105"/>
    <mergeCell ref="A79:A80"/>
    <mergeCell ref="G7:H7"/>
    <mergeCell ref="B11:B16"/>
    <mergeCell ref="A11:A12"/>
    <mergeCell ref="C11:C12"/>
    <mergeCell ref="C51:C52"/>
    <mergeCell ref="B51:B77"/>
    <mergeCell ref="A51:A52"/>
    <mergeCell ref="A14:A15"/>
    <mergeCell ref="A54:A55"/>
    <mergeCell ref="A7:A8"/>
    <mergeCell ref="B7:B8"/>
    <mergeCell ref="C7:C8"/>
    <mergeCell ref="D7:D8"/>
    <mergeCell ref="A294:A295"/>
    <mergeCell ref="C294:C295"/>
    <mergeCell ref="B266:B274"/>
    <mergeCell ref="B179:B205"/>
    <mergeCell ref="A144:A145"/>
    <mergeCell ref="A179:A180"/>
    <mergeCell ref="C179:C180"/>
    <mergeCell ref="B294:B302"/>
    <mergeCell ref="A207:A209"/>
    <mergeCell ref="B141:B144"/>
    <mergeCell ref="B207:B213"/>
    <mergeCell ref="C207:C208"/>
    <mergeCell ref="C141:C144"/>
    <mergeCell ref="A182:A183"/>
    <mergeCell ref="A141:A142"/>
    <mergeCell ref="A297:A298"/>
  </mergeCells>
  <printOptions horizontalCentered="1"/>
  <pageMargins left="0.52" right="0.85" top="0.68" bottom="0.69" header="0.3" footer="0.4"/>
  <pageSetup paperSize="9" scale="80" orientation="landscape" verticalDpi="300" r:id="rId1"/>
  <headerFooter>
    <oddFooter>&amp;LProvince of Pampanga
&amp;CPage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132"/>
  <sheetViews>
    <sheetView view="pageBreakPreview" topLeftCell="A95" zoomScale="120" zoomScaleNormal="80" zoomScaleSheetLayoutView="120" workbookViewId="0">
      <selection activeCell="A107" sqref="A1:XFD1048576"/>
    </sheetView>
  </sheetViews>
  <sheetFormatPr defaultColWidth="15.7109375" defaultRowHeight="15" x14ac:dyDescent="0.25"/>
  <cols>
    <col min="2" max="2" width="15.7109375" style="580"/>
    <col min="3" max="5" width="15.7109375" style="97"/>
    <col min="9" max="9" width="15.7109375" style="97"/>
    <col min="11" max="11" width="15.7109375" style="97"/>
    <col min="12" max="12" width="15.7109375" style="3"/>
    <col min="13" max="13" width="15.7109375" style="97"/>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414</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583"/>
      <c r="B7" s="583"/>
      <c r="C7" s="583"/>
      <c r="D7" s="583"/>
      <c r="E7" s="583"/>
      <c r="F7" s="583"/>
      <c r="G7" s="583"/>
      <c r="H7" s="583"/>
      <c r="I7" s="583"/>
      <c r="J7" s="583"/>
      <c r="K7" s="583"/>
      <c r="L7" s="621"/>
      <c r="M7" s="583"/>
    </row>
    <row r="8" spans="1:13" s="501" customFormat="1" ht="23.45" x14ac:dyDescent="0.45">
      <c r="A8" s="497"/>
      <c r="B8" s="502"/>
      <c r="D8" s="502"/>
      <c r="L8" s="629"/>
    </row>
    <row r="9" spans="1:13" s="48" customFormat="1" ht="36" customHeight="1" x14ac:dyDescent="0.25">
      <c r="A9" s="906" t="s">
        <v>3</v>
      </c>
      <c r="B9" s="913" t="s">
        <v>5</v>
      </c>
      <c r="C9" s="914"/>
      <c r="D9" s="914"/>
      <c r="E9" s="915"/>
      <c r="F9" s="913" t="s">
        <v>7</v>
      </c>
      <c r="G9" s="914"/>
      <c r="H9" s="914"/>
      <c r="I9" s="915"/>
      <c r="J9" s="913" t="s">
        <v>306</v>
      </c>
      <c r="K9" s="914"/>
      <c r="L9" s="914"/>
      <c r="M9" s="915"/>
    </row>
    <row r="10" spans="1:13" ht="16.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581" t="s">
        <v>307</v>
      </c>
      <c r="C11" s="476" t="s">
        <v>60</v>
      </c>
      <c r="D11" s="581" t="s">
        <v>307</v>
      </c>
      <c r="E11" s="17" t="s">
        <v>305</v>
      </c>
      <c r="F11" s="581" t="s">
        <v>308</v>
      </c>
      <c r="G11" s="582" t="s">
        <v>60</v>
      </c>
      <c r="H11" s="581" t="s">
        <v>308</v>
      </c>
      <c r="I11" s="17" t="s">
        <v>305</v>
      </c>
      <c r="J11" s="581" t="s">
        <v>309</v>
      </c>
      <c r="K11" s="476" t="s">
        <v>60</v>
      </c>
      <c r="L11" s="622" t="s">
        <v>309</v>
      </c>
      <c r="M11" s="17" t="s">
        <v>305</v>
      </c>
    </row>
    <row r="12" spans="1:13" s="343" customFormat="1" ht="14.45" x14ac:dyDescent="0.3">
      <c r="A12" s="610" t="s">
        <v>14</v>
      </c>
      <c r="B12" s="611">
        <f>B13+B17+B24+B30</f>
        <v>50457</v>
      </c>
      <c r="C12" s="612">
        <f>C13+C17+C24+C30</f>
        <v>756855000</v>
      </c>
      <c r="D12" s="611">
        <f t="shared" ref="D12:M12" si="0">D13+D17+D24+D30</f>
        <v>52418</v>
      </c>
      <c r="E12" s="612">
        <f t="shared" si="0"/>
        <v>559354100</v>
      </c>
      <c r="F12" s="611">
        <f t="shared" si="0"/>
        <v>5154</v>
      </c>
      <c r="G12" s="612">
        <f t="shared" si="0"/>
        <v>51540000</v>
      </c>
      <c r="H12" s="611">
        <f t="shared" si="0"/>
        <v>1813</v>
      </c>
      <c r="I12" s="612">
        <f t="shared" si="0"/>
        <v>10387865</v>
      </c>
      <c r="J12" s="611">
        <f t="shared" si="0"/>
        <v>30350</v>
      </c>
      <c r="K12" s="612">
        <f t="shared" si="0"/>
        <v>47346000</v>
      </c>
      <c r="L12" s="611">
        <f t="shared" si="0"/>
        <v>21888</v>
      </c>
      <c r="M12" s="612">
        <f t="shared" si="0"/>
        <v>19886177</v>
      </c>
    </row>
    <row r="13" spans="1:13" ht="14.45" x14ac:dyDescent="0.3">
      <c r="A13" s="349" t="s">
        <v>278</v>
      </c>
      <c r="B13" s="477">
        <f t="shared" ref="B13:M13" si="1">SUM(B14:B16)</f>
        <v>7250</v>
      </c>
      <c r="C13" s="351">
        <f t="shared" si="1"/>
        <v>108750000</v>
      </c>
      <c r="D13" s="477">
        <f t="shared" si="1"/>
        <v>7381</v>
      </c>
      <c r="E13" s="351">
        <f t="shared" si="1"/>
        <v>77744100</v>
      </c>
      <c r="F13" s="477">
        <f t="shared" si="1"/>
        <v>910</v>
      </c>
      <c r="G13" s="351">
        <f t="shared" si="1"/>
        <v>9100000</v>
      </c>
      <c r="H13" s="477">
        <f t="shared" si="1"/>
        <v>291</v>
      </c>
      <c r="I13" s="351">
        <f t="shared" si="1"/>
        <v>1446865</v>
      </c>
      <c r="J13" s="477">
        <f t="shared" si="1"/>
        <v>5600</v>
      </c>
      <c r="K13" s="351">
        <f t="shared" si="1"/>
        <v>8736000</v>
      </c>
      <c r="L13" s="630">
        <f t="shared" si="1"/>
        <v>3410</v>
      </c>
      <c r="M13" s="351">
        <f t="shared" si="1"/>
        <v>3624494</v>
      </c>
    </row>
    <row r="14" spans="1:13" ht="14.45" x14ac:dyDescent="0.3">
      <c r="A14" s="83" t="s">
        <v>150</v>
      </c>
      <c r="B14" s="426">
        <f>Pamp_1st!B13</f>
        <v>3228</v>
      </c>
      <c r="C14" s="100">
        <f>Pamp_1st!C13</f>
        <v>48420000</v>
      </c>
      <c r="D14" s="426">
        <f>Pamp_1st!D13</f>
        <v>3253</v>
      </c>
      <c r="E14" s="100">
        <f>Pamp_1st!E13</f>
        <v>33266800</v>
      </c>
      <c r="F14" s="383">
        <f>Pamp_1st!F13</f>
        <v>430</v>
      </c>
      <c r="G14" s="384">
        <f>Pamp_1st!G13</f>
        <v>4300000</v>
      </c>
      <c r="H14" s="383">
        <f>Pamp_1st!H13</f>
        <v>157</v>
      </c>
      <c r="I14" s="384">
        <f>Pamp_1st!I13</f>
        <v>776865</v>
      </c>
      <c r="J14" s="581">
        <f>Pamp_1st!J13</f>
        <v>4000</v>
      </c>
      <c r="K14" s="17">
        <f>Pamp_1st!K13</f>
        <v>6240000</v>
      </c>
      <c r="L14" s="622">
        <f>Pamp_1st!L13</f>
        <v>0</v>
      </c>
      <c r="M14" s="17">
        <f>Pamp_1st!M13</f>
        <v>0</v>
      </c>
    </row>
    <row r="15" spans="1:13" ht="14.45" x14ac:dyDescent="0.3">
      <c r="A15" s="83" t="s">
        <v>151</v>
      </c>
      <c r="B15" s="426">
        <f>Pamp_1st!B14</f>
        <v>2059</v>
      </c>
      <c r="C15" s="100">
        <f>Pamp_1st!C14</f>
        <v>30885000</v>
      </c>
      <c r="D15" s="426">
        <f>Pamp_1st!D14</f>
        <v>2124</v>
      </c>
      <c r="E15" s="100">
        <f>Pamp_1st!E14</f>
        <v>22999300</v>
      </c>
      <c r="F15" s="383">
        <f>Pamp_1st!F14</f>
        <v>250</v>
      </c>
      <c r="G15" s="384">
        <f>Pamp_1st!G14</f>
        <v>2500000</v>
      </c>
      <c r="H15" s="383">
        <f>Pamp_1st!H14</f>
        <v>76</v>
      </c>
      <c r="I15" s="384">
        <f>Pamp_1st!I14</f>
        <v>380000</v>
      </c>
      <c r="J15" s="617">
        <f>Pamp_1st!J14</f>
        <v>200</v>
      </c>
      <c r="K15" s="17">
        <f>Pamp_1st!K14</f>
        <v>312000</v>
      </c>
      <c r="L15" s="622">
        <f>Pamp_1st!L14</f>
        <v>2100</v>
      </c>
      <c r="M15" s="17">
        <f>Pamp_1st!M14</f>
        <v>3300924</v>
      </c>
    </row>
    <row r="16" spans="1:13" ht="14.45" x14ac:dyDescent="0.3">
      <c r="A16" s="83" t="s">
        <v>152</v>
      </c>
      <c r="B16" s="426">
        <f>Pamp_1st!B15</f>
        <v>1963</v>
      </c>
      <c r="C16" s="100">
        <f>Pamp_1st!C15</f>
        <v>29445000</v>
      </c>
      <c r="D16" s="426">
        <f>Pamp_1st!D15</f>
        <v>2004</v>
      </c>
      <c r="E16" s="100">
        <f>Pamp_1st!E15</f>
        <v>21478000</v>
      </c>
      <c r="F16" s="383">
        <f>Pamp_1st!F15</f>
        <v>230</v>
      </c>
      <c r="G16" s="384">
        <f>Pamp_1st!G15</f>
        <v>2300000</v>
      </c>
      <c r="H16" s="383">
        <f>Pamp_1st!H15</f>
        <v>58</v>
      </c>
      <c r="I16" s="384">
        <f>Pamp_1st!I15</f>
        <v>290000</v>
      </c>
      <c r="J16" s="617">
        <f>Pamp_1st!J15</f>
        <v>1400</v>
      </c>
      <c r="K16" s="17">
        <f>Pamp_1st!K15</f>
        <v>2184000</v>
      </c>
      <c r="L16" s="622">
        <f>Pamp_1st!L15</f>
        <v>1310</v>
      </c>
      <c r="M16" s="17">
        <f>Pamp_1st!M15</f>
        <v>323570</v>
      </c>
    </row>
    <row r="17" spans="1:13" ht="14.45" x14ac:dyDescent="0.3">
      <c r="A17" s="349" t="s">
        <v>397</v>
      </c>
      <c r="B17" s="477">
        <f t="shared" ref="B17:M17" si="2">SUM(B18:B23)</f>
        <v>12900</v>
      </c>
      <c r="C17" s="351">
        <f t="shared" si="2"/>
        <v>193500000</v>
      </c>
      <c r="D17" s="477">
        <f t="shared" si="2"/>
        <v>13888</v>
      </c>
      <c r="E17" s="351">
        <f t="shared" si="2"/>
        <v>147113500</v>
      </c>
      <c r="F17" s="477">
        <f t="shared" si="2"/>
        <v>1120</v>
      </c>
      <c r="G17" s="351">
        <f t="shared" si="2"/>
        <v>11200000</v>
      </c>
      <c r="H17" s="477">
        <f t="shared" si="2"/>
        <v>912</v>
      </c>
      <c r="I17" s="351">
        <f t="shared" si="2"/>
        <v>5333000</v>
      </c>
      <c r="J17" s="477">
        <f t="shared" si="2"/>
        <v>9250</v>
      </c>
      <c r="K17" s="351">
        <f t="shared" si="2"/>
        <v>14430000</v>
      </c>
      <c r="L17" s="630">
        <f t="shared" si="2"/>
        <v>9039</v>
      </c>
      <c r="M17" s="351">
        <f t="shared" si="2"/>
        <v>10602022</v>
      </c>
    </row>
    <row r="18" spans="1:13" ht="14.45" x14ac:dyDescent="0.3">
      <c r="A18" s="83" t="s">
        <v>153</v>
      </c>
      <c r="B18" s="426">
        <f>Pamp_2nd!B13</f>
        <v>2004</v>
      </c>
      <c r="C18" s="100">
        <f>Pamp_2nd!C13</f>
        <v>30060000</v>
      </c>
      <c r="D18" s="426">
        <f>Pamp_2nd!D13</f>
        <v>2108</v>
      </c>
      <c r="E18" s="100">
        <f>Pamp_2nd!E13</f>
        <v>23348600</v>
      </c>
      <c r="F18" s="383">
        <f>Pamp_2nd!F13</f>
        <v>110</v>
      </c>
      <c r="G18" s="384">
        <f>Pamp_2nd!G13</f>
        <v>1100000</v>
      </c>
      <c r="H18" s="383">
        <f>Pamp_2nd!H13</f>
        <v>224</v>
      </c>
      <c r="I18" s="384">
        <f>Pamp_2nd!I13</f>
        <v>1529000</v>
      </c>
      <c r="J18" s="581">
        <f>Pamp_2nd!J13</f>
        <v>1800</v>
      </c>
      <c r="K18" s="17">
        <f>Pamp_2nd!K13</f>
        <v>2808000</v>
      </c>
      <c r="L18" s="622">
        <f>Pamp_2nd!L13</f>
        <v>1686</v>
      </c>
      <c r="M18" s="17">
        <f>Pamp_2nd!M13</f>
        <v>2082210</v>
      </c>
    </row>
    <row r="19" spans="1:13" ht="14.45" x14ac:dyDescent="0.3">
      <c r="A19" s="83" t="s">
        <v>154</v>
      </c>
      <c r="B19" s="426">
        <f>Pamp_2nd!B14</f>
        <v>1964</v>
      </c>
      <c r="C19" s="100">
        <f>Pamp_2nd!C14</f>
        <v>29460000</v>
      </c>
      <c r="D19" s="426">
        <f>Pamp_2nd!D14</f>
        <v>2301</v>
      </c>
      <c r="E19" s="100">
        <f>Pamp_2nd!E14</f>
        <v>24694100</v>
      </c>
      <c r="F19" s="383">
        <f>Pamp_2nd!F14</f>
        <v>200</v>
      </c>
      <c r="G19" s="384">
        <f>Pamp_2nd!G14</f>
        <v>2000000</v>
      </c>
      <c r="H19" s="383">
        <f>Pamp_2nd!H14</f>
        <v>1</v>
      </c>
      <c r="I19" s="384">
        <f>Pamp_2nd!I14</f>
        <v>10000</v>
      </c>
      <c r="J19" s="617">
        <f>Pamp_2nd!J14</f>
        <v>1900</v>
      </c>
      <c r="K19" s="17">
        <f>Pamp_2nd!K14</f>
        <v>2964000</v>
      </c>
      <c r="L19" s="622">
        <f>Pamp_2nd!L14</f>
        <v>1960</v>
      </c>
      <c r="M19" s="17">
        <f>Pamp_2nd!M14</f>
        <v>3081120</v>
      </c>
    </row>
    <row r="20" spans="1:13" ht="14.45" x14ac:dyDescent="0.3">
      <c r="A20" s="83" t="s">
        <v>155</v>
      </c>
      <c r="B20" s="426">
        <f>Pamp_2nd!B15</f>
        <v>3620</v>
      </c>
      <c r="C20" s="100">
        <f>Pamp_2nd!C15</f>
        <v>54300000</v>
      </c>
      <c r="D20" s="426">
        <f>Pamp_2nd!D15</f>
        <v>3868</v>
      </c>
      <c r="E20" s="100">
        <f>Pamp_2nd!E15</f>
        <v>39736800</v>
      </c>
      <c r="F20" s="383">
        <f>Pamp_2nd!F15</f>
        <v>320</v>
      </c>
      <c r="G20" s="384">
        <f>Pamp_2nd!G15</f>
        <v>3200000</v>
      </c>
      <c r="H20" s="383">
        <f>Pamp_2nd!H15</f>
        <v>224</v>
      </c>
      <c r="I20" s="384">
        <f>Pamp_2nd!I15</f>
        <v>1196000</v>
      </c>
      <c r="J20" s="617">
        <f>Pamp_2nd!J15</f>
        <v>2000</v>
      </c>
      <c r="K20" s="17">
        <f>Pamp_2nd!K15</f>
        <v>3120000</v>
      </c>
      <c r="L20" s="622">
        <f>Pamp_2nd!L15</f>
        <v>2275</v>
      </c>
      <c r="M20" s="17">
        <f>Pamp_2nd!M15</f>
        <v>561925</v>
      </c>
    </row>
    <row r="21" spans="1:13" ht="14.45" x14ac:dyDescent="0.3">
      <c r="A21" s="83" t="s">
        <v>156</v>
      </c>
      <c r="B21" s="426">
        <f>Pamp_2nd!B16</f>
        <v>3352</v>
      </c>
      <c r="C21" s="100">
        <f>Pamp_2nd!C16</f>
        <v>50280000</v>
      </c>
      <c r="D21" s="426">
        <f>Pamp_2nd!D16</f>
        <v>3273</v>
      </c>
      <c r="E21" s="100">
        <f>Pamp_2nd!E16</f>
        <v>36970200</v>
      </c>
      <c r="F21" s="383">
        <f>Pamp_2nd!F16</f>
        <v>330</v>
      </c>
      <c r="G21" s="384">
        <f>Pamp_2nd!G16</f>
        <v>3300000</v>
      </c>
      <c r="H21" s="383">
        <f>Pamp_2nd!H16</f>
        <v>275</v>
      </c>
      <c r="I21" s="384">
        <f>Pamp_2nd!I16</f>
        <v>1658000</v>
      </c>
      <c r="J21" s="617">
        <f>Pamp_2nd!J16</f>
        <v>2000</v>
      </c>
      <c r="K21" s="17">
        <f>Pamp_2nd!K16</f>
        <v>3120000</v>
      </c>
      <c r="L21" s="622">
        <f>Pamp_2nd!L16</f>
        <v>2391</v>
      </c>
      <c r="M21" s="17">
        <f>Pamp_2nd!M16</f>
        <v>3884412</v>
      </c>
    </row>
    <row r="22" spans="1:13" ht="14.45" x14ac:dyDescent="0.3">
      <c r="A22" s="83" t="s">
        <v>157</v>
      </c>
      <c r="B22" s="426">
        <f>Pamp_2nd!B17</f>
        <v>1007</v>
      </c>
      <c r="C22" s="100">
        <f>Pamp_2nd!C17</f>
        <v>15105000</v>
      </c>
      <c r="D22" s="426">
        <f>Pamp_2nd!D17</f>
        <v>1169</v>
      </c>
      <c r="E22" s="100">
        <f>Pamp_2nd!E17</f>
        <v>12193400</v>
      </c>
      <c r="F22" s="383">
        <f>Pamp_2nd!F17</f>
        <v>100</v>
      </c>
      <c r="G22" s="384">
        <f>Pamp_2nd!G17</f>
        <v>1000000</v>
      </c>
      <c r="H22" s="383">
        <f>Pamp_2nd!H17</f>
        <v>188</v>
      </c>
      <c r="I22" s="384">
        <f>Pamp_2nd!I17</f>
        <v>940000</v>
      </c>
      <c r="J22" s="617">
        <f>Pamp_2nd!J17</f>
        <v>700</v>
      </c>
      <c r="K22" s="17">
        <f>Pamp_2nd!K17</f>
        <v>1092000</v>
      </c>
      <c r="L22" s="622">
        <f>Pamp_2nd!L17</f>
        <v>0</v>
      </c>
      <c r="M22" s="17">
        <f>Pamp_2nd!M17</f>
        <v>0</v>
      </c>
    </row>
    <row r="23" spans="1:13" ht="14.45" x14ac:dyDescent="0.3">
      <c r="A23" s="83" t="s">
        <v>158</v>
      </c>
      <c r="B23" s="426">
        <f>Pamp_2nd!B18</f>
        <v>953</v>
      </c>
      <c r="C23" s="100">
        <f>Pamp_2nd!C18</f>
        <v>14295000</v>
      </c>
      <c r="D23" s="426">
        <f>Pamp_2nd!D18</f>
        <v>1169</v>
      </c>
      <c r="E23" s="100">
        <f>Pamp_2nd!E18</f>
        <v>10170400</v>
      </c>
      <c r="F23" s="383">
        <f>Pamp_2nd!F18</f>
        <v>60</v>
      </c>
      <c r="G23" s="384">
        <f>Pamp_2nd!G18</f>
        <v>600000</v>
      </c>
      <c r="H23" s="383">
        <f>Pamp_2nd!H18</f>
        <v>0</v>
      </c>
      <c r="I23" s="384">
        <f>Pamp_2nd!I18</f>
        <v>0</v>
      </c>
      <c r="J23" s="617">
        <f>Pamp_2nd!J18</f>
        <v>850</v>
      </c>
      <c r="K23" s="17">
        <f>Pamp_2nd!K18</f>
        <v>1326000</v>
      </c>
      <c r="L23" s="622">
        <f>Pamp_2nd!L18</f>
        <v>727</v>
      </c>
      <c r="M23" s="17">
        <f>Pamp_2nd!M18</f>
        <v>992355</v>
      </c>
    </row>
    <row r="24" spans="1:13" ht="14.45" x14ac:dyDescent="0.3">
      <c r="A24" s="349" t="s">
        <v>406</v>
      </c>
      <c r="B24" s="477">
        <f t="shared" ref="B24:M24" si="3">SUM(B25:B29)</f>
        <v>11749</v>
      </c>
      <c r="C24" s="351">
        <f t="shared" si="3"/>
        <v>176235000</v>
      </c>
      <c r="D24" s="477">
        <f t="shared" si="3"/>
        <v>12041</v>
      </c>
      <c r="E24" s="351">
        <f t="shared" si="3"/>
        <v>128204800</v>
      </c>
      <c r="F24" s="477">
        <f t="shared" si="3"/>
        <v>1240</v>
      </c>
      <c r="G24" s="351">
        <f t="shared" si="3"/>
        <v>12400000</v>
      </c>
      <c r="H24" s="477">
        <f t="shared" si="3"/>
        <v>388</v>
      </c>
      <c r="I24" s="351">
        <f t="shared" si="3"/>
        <v>2248000</v>
      </c>
      <c r="J24" s="477">
        <f t="shared" si="3"/>
        <v>9400</v>
      </c>
      <c r="K24" s="351">
        <f t="shared" si="3"/>
        <v>14664000</v>
      </c>
      <c r="L24" s="630">
        <f t="shared" si="3"/>
        <v>5106</v>
      </c>
      <c r="M24" s="351">
        <f t="shared" si="3"/>
        <v>1482780</v>
      </c>
    </row>
    <row r="25" spans="1:13" x14ac:dyDescent="0.25">
      <c r="A25" s="83" t="s">
        <v>159</v>
      </c>
      <c r="B25" s="426">
        <f>Pamp_3rd!B13</f>
        <v>3746</v>
      </c>
      <c r="C25" s="100">
        <f>Pamp_3rd!C13</f>
        <v>56190000</v>
      </c>
      <c r="D25" s="426">
        <f>Pamp_3rd!D13</f>
        <v>3745</v>
      </c>
      <c r="E25" s="100">
        <f>Pamp_3rd!E13</f>
        <v>40450600</v>
      </c>
      <c r="F25" s="30">
        <f>Pamp_3rd!F13</f>
        <v>430</v>
      </c>
      <c r="G25" s="384">
        <f>Pamp_3rd!G13</f>
        <v>4300000</v>
      </c>
      <c r="H25" s="30">
        <f>Pamp_3rd!H13</f>
        <v>192</v>
      </c>
      <c r="I25" s="384">
        <f>Pamp_3rd!I13</f>
        <v>1125000</v>
      </c>
      <c r="J25" s="581">
        <f>Pamp_3rd!J13</f>
        <v>2500</v>
      </c>
      <c r="K25" s="17">
        <f>Pamp_3rd!K13</f>
        <v>3900000</v>
      </c>
      <c r="L25" s="622">
        <f>Pamp_3rd!L13</f>
        <v>2265</v>
      </c>
      <c r="M25" s="17">
        <f>Pamp_3rd!M13</f>
        <v>559455</v>
      </c>
    </row>
    <row r="26" spans="1:13" x14ac:dyDescent="0.25">
      <c r="A26" s="83" t="s">
        <v>160</v>
      </c>
      <c r="B26" s="426">
        <f>Pamp_3rd!B14</f>
        <v>815</v>
      </c>
      <c r="C26" s="100">
        <f>Pamp_3rd!C14</f>
        <v>12225000</v>
      </c>
      <c r="D26" s="426">
        <f>Pamp_3rd!D14</f>
        <v>813</v>
      </c>
      <c r="E26" s="100">
        <f>Pamp_3rd!E14</f>
        <v>9030900</v>
      </c>
      <c r="F26" s="30">
        <f>Pamp_3rd!F14</f>
        <v>100</v>
      </c>
      <c r="G26" s="384">
        <f>Pamp_3rd!G14</f>
        <v>1000000</v>
      </c>
      <c r="H26" s="30">
        <f>Pamp_3rd!H14</f>
        <v>31</v>
      </c>
      <c r="I26" s="384">
        <f>Pamp_3rd!I14</f>
        <v>155000</v>
      </c>
      <c r="J26" s="622">
        <f>Pamp_3rd!J14</f>
        <v>1500</v>
      </c>
      <c r="K26" s="17">
        <f>Pamp_3rd!K14</f>
        <v>2340000</v>
      </c>
      <c r="L26" s="622">
        <f>Pamp_3rd!L14</f>
        <v>0</v>
      </c>
      <c r="M26" s="17">
        <f>Pamp_3rd!M14</f>
        <v>0</v>
      </c>
    </row>
    <row r="27" spans="1:13" ht="30" x14ac:dyDescent="0.25">
      <c r="A27" s="83" t="s">
        <v>161</v>
      </c>
      <c r="B27" s="426">
        <f>Pamp_3rd!B15</f>
        <v>2811</v>
      </c>
      <c r="C27" s="100">
        <f>Pamp_3rd!C15</f>
        <v>42165000</v>
      </c>
      <c r="D27" s="426">
        <f>Pamp_3rd!D15</f>
        <v>2890</v>
      </c>
      <c r="E27" s="100">
        <f>Pamp_3rd!E15</f>
        <v>29391800</v>
      </c>
      <c r="F27" s="30">
        <f>Pamp_3rd!F15</f>
        <v>330</v>
      </c>
      <c r="G27" s="384">
        <f>Pamp_3rd!G15</f>
        <v>3300000</v>
      </c>
      <c r="H27" s="30">
        <f>Pamp_3rd!H15</f>
        <v>22</v>
      </c>
      <c r="I27" s="384">
        <f>Pamp_3rd!I15</f>
        <v>168000</v>
      </c>
      <c r="J27" s="622">
        <f>Pamp_3rd!J15</f>
        <v>2500</v>
      </c>
      <c r="K27" s="17">
        <f>Pamp_3rd!K15</f>
        <v>3900000</v>
      </c>
      <c r="L27" s="622">
        <f>Pamp_3rd!L15</f>
        <v>2841</v>
      </c>
      <c r="M27" s="17">
        <f>Pamp_3rd!M15</f>
        <v>923325</v>
      </c>
    </row>
    <row r="28" spans="1:13" x14ac:dyDescent="0.25">
      <c r="A28" s="83" t="s">
        <v>162</v>
      </c>
      <c r="B28" s="426">
        <f>Pamp_3rd!B16</f>
        <v>2980</v>
      </c>
      <c r="C28" s="100">
        <f>Pamp_3rd!C16</f>
        <v>44700000</v>
      </c>
      <c r="D28" s="426">
        <f>Pamp_3rd!D16</f>
        <v>3126</v>
      </c>
      <c r="E28" s="100">
        <f>Pamp_3rd!E16</f>
        <v>33197400</v>
      </c>
      <c r="F28" s="30">
        <f>Pamp_3rd!F16</f>
        <v>200</v>
      </c>
      <c r="G28" s="384">
        <f>Pamp_3rd!G16</f>
        <v>2000000</v>
      </c>
      <c r="H28" s="30">
        <f>Pamp_3rd!H16</f>
        <v>142</v>
      </c>
      <c r="I28" s="384">
        <f>Pamp_3rd!I16</f>
        <v>790000</v>
      </c>
      <c r="J28" s="622">
        <f>Pamp_3rd!J16</f>
        <v>1700</v>
      </c>
      <c r="K28" s="17">
        <f>Pamp_3rd!K16</f>
        <v>2652000</v>
      </c>
      <c r="L28" s="622">
        <f>Pamp_3rd!L16</f>
        <v>0</v>
      </c>
      <c r="M28" s="17">
        <f>Pamp_3rd!M16</f>
        <v>0</v>
      </c>
    </row>
    <row r="29" spans="1:13" x14ac:dyDescent="0.25">
      <c r="A29" s="83" t="s">
        <v>163</v>
      </c>
      <c r="B29" s="426">
        <f>Pamp_3rd!B17</f>
        <v>1397</v>
      </c>
      <c r="C29" s="100">
        <f>Pamp_3rd!C17</f>
        <v>20955000</v>
      </c>
      <c r="D29" s="426">
        <f>Pamp_3rd!D17</f>
        <v>1467</v>
      </c>
      <c r="E29" s="100">
        <f>Pamp_3rd!E17</f>
        <v>16134100</v>
      </c>
      <c r="F29" s="30">
        <f>Pamp_3rd!F17</f>
        <v>180</v>
      </c>
      <c r="G29" s="384">
        <f>Pamp_3rd!G17</f>
        <v>1800000</v>
      </c>
      <c r="H29" s="30">
        <f>Pamp_3rd!H17</f>
        <v>1</v>
      </c>
      <c r="I29" s="384">
        <f>Pamp_3rd!I17</f>
        <v>10000</v>
      </c>
      <c r="J29" s="622">
        <f>Pamp_3rd!J17</f>
        <v>1200</v>
      </c>
      <c r="K29" s="17">
        <f>Pamp_3rd!K17</f>
        <v>1872000</v>
      </c>
      <c r="L29" s="622">
        <f>Pamp_3rd!L17</f>
        <v>0</v>
      </c>
      <c r="M29" s="17">
        <f>Pamp_3rd!M17</f>
        <v>0</v>
      </c>
    </row>
    <row r="30" spans="1:13" x14ac:dyDescent="0.25">
      <c r="A30" s="349" t="s">
        <v>399</v>
      </c>
      <c r="B30" s="477">
        <f t="shared" ref="B30:M30" si="4">SUM(B31:B38)</f>
        <v>18558</v>
      </c>
      <c r="C30" s="351">
        <f t="shared" si="4"/>
        <v>278370000</v>
      </c>
      <c r="D30" s="477">
        <f t="shared" si="4"/>
        <v>19108</v>
      </c>
      <c r="E30" s="351">
        <f t="shared" si="4"/>
        <v>206291700</v>
      </c>
      <c r="F30" s="477">
        <f t="shared" si="4"/>
        <v>1884</v>
      </c>
      <c r="G30" s="351">
        <f t="shared" si="4"/>
        <v>18840000</v>
      </c>
      <c r="H30" s="477">
        <f t="shared" si="4"/>
        <v>222</v>
      </c>
      <c r="I30" s="351">
        <f t="shared" si="4"/>
        <v>1360000</v>
      </c>
      <c r="J30" s="477">
        <f t="shared" si="4"/>
        <v>6100</v>
      </c>
      <c r="K30" s="351">
        <f t="shared" si="4"/>
        <v>9516000</v>
      </c>
      <c r="L30" s="630">
        <f t="shared" si="4"/>
        <v>4333</v>
      </c>
      <c r="M30" s="351">
        <f t="shared" si="4"/>
        <v>4176881</v>
      </c>
    </row>
    <row r="31" spans="1:13" x14ac:dyDescent="0.25">
      <c r="A31" s="83" t="s">
        <v>164</v>
      </c>
      <c r="B31" s="426">
        <f>Pamp_4th!B13</f>
        <v>3150</v>
      </c>
      <c r="C31" s="100">
        <f>Pamp_4th!C13</f>
        <v>47250000</v>
      </c>
      <c r="D31" s="426">
        <f>Pamp_4th!D13</f>
        <v>3129</v>
      </c>
      <c r="E31" s="100">
        <f>Pamp_4th!E13</f>
        <v>32568300</v>
      </c>
      <c r="F31" s="30">
        <f>Pamp_4th!F13</f>
        <v>380</v>
      </c>
      <c r="G31" s="384">
        <f>Pamp_4th!G13</f>
        <v>3800000</v>
      </c>
      <c r="H31" s="30">
        <f>Pamp_4th!H13</f>
        <v>0</v>
      </c>
      <c r="I31" s="384">
        <f>Pamp_4th!I13</f>
        <v>0</v>
      </c>
      <c r="J31" s="581">
        <f>Pamp_4th!J13</f>
        <v>0</v>
      </c>
      <c r="K31" s="17">
        <f>Pamp_4th!K13</f>
        <v>0</v>
      </c>
      <c r="L31" s="622">
        <f>Pamp_4th!L13</f>
        <v>0</v>
      </c>
      <c r="M31" s="17">
        <f>Pamp_4th!M13</f>
        <v>0</v>
      </c>
    </row>
    <row r="32" spans="1:13" x14ac:dyDescent="0.25">
      <c r="A32" s="83" t="s">
        <v>165</v>
      </c>
      <c r="B32" s="426">
        <f>Pamp_4th!B14</f>
        <v>4944</v>
      </c>
      <c r="C32" s="100">
        <f>Pamp_4th!C14</f>
        <v>74160000</v>
      </c>
      <c r="D32" s="426">
        <f>Pamp_4th!D14</f>
        <v>5360</v>
      </c>
      <c r="E32" s="100">
        <f>Pamp_4th!E14</f>
        <v>56650700</v>
      </c>
      <c r="F32" s="30">
        <f>Pamp_4th!F14</f>
        <v>425</v>
      </c>
      <c r="G32" s="384">
        <f>Pamp_4th!G14</f>
        <v>4250000</v>
      </c>
      <c r="H32" s="30">
        <f>Pamp_4th!H14</f>
        <v>28</v>
      </c>
      <c r="I32" s="384">
        <f>Pamp_4th!I14</f>
        <v>140000</v>
      </c>
      <c r="J32" s="622">
        <f>Pamp_4th!J14</f>
        <v>1600</v>
      </c>
      <c r="K32" s="17">
        <f>Pamp_4th!K14</f>
        <v>2496000</v>
      </c>
      <c r="L32" s="622">
        <f>Pamp_4th!L14</f>
        <v>1520</v>
      </c>
      <c r="M32" s="17">
        <f>Pamp_4th!M14</f>
        <v>375440</v>
      </c>
    </row>
    <row r="33" spans="1:13" x14ac:dyDescent="0.25">
      <c r="A33" s="83" t="s">
        <v>166</v>
      </c>
      <c r="B33" s="426">
        <f>Pamp_4th!B15</f>
        <v>2726</v>
      </c>
      <c r="C33" s="100">
        <f>Pamp_4th!C15</f>
        <v>40890000</v>
      </c>
      <c r="D33" s="426">
        <f>Pamp_4th!D15</f>
        <v>2725</v>
      </c>
      <c r="E33" s="100">
        <f>Pamp_4th!E15</f>
        <v>30578500</v>
      </c>
      <c r="F33" s="30">
        <f>Pamp_4th!F15</f>
        <v>280</v>
      </c>
      <c r="G33" s="384">
        <f>Pamp_4th!G15</f>
        <v>2800000</v>
      </c>
      <c r="H33" s="30">
        <f>Pamp_4th!H15</f>
        <v>0</v>
      </c>
      <c r="I33" s="384">
        <f>Pamp_4th!I15</f>
        <v>0</v>
      </c>
      <c r="J33" s="622">
        <f>Pamp_4th!J15</f>
        <v>1000</v>
      </c>
      <c r="K33" s="17">
        <f>Pamp_4th!K15</f>
        <v>1560000</v>
      </c>
      <c r="L33" s="622">
        <f>Pamp_4th!L15</f>
        <v>0</v>
      </c>
      <c r="M33" s="17">
        <f>Pamp_4th!M15</f>
        <v>0</v>
      </c>
    </row>
    <row r="34" spans="1:13" x14ac:dyDescent="0.25">
      <c r="A34" s="83" t="s">
        <v>167</v>
      </c>
      <c r="B34" s="426">
        <f>Pamp_4th!B16</f>
        <v>2222</v>
      </c>
      <c r="C34" s="100">
        <f>Pamp_4th!C16</f>
        <v>33330000</v>
      </c>
      <c r="D34" s="426">
        <f>Pamp_4th!D16</f>
        <v>2192</v>
      </c>
      <c r="E34" s="100">
        <f>Pamp_4th!E16</f>
        <v>25051000</v>
      </c>
      <c r="F34" s="30">
        <f>Pamp_4th!F16</f>
        <v>280</v>
      </c>
      <c r="G34" s="384">
        <f>Pamp_4th!G16</f>
        <v>2800000</v>
      </c>
      <c r="H34" s="30">
        <f>Pamp_4th!H16</f>
        <v>0</v>
      </c>
      <c r="I34" s="384">
        <f>Pamp_4th!I16</f>
        <v>0</v>
      </c>
      <c r="J34" s="622">
        <f>Pamp_4th!J16</f>
        <v>700</v>
      </c>
      <c r="K34" s="17">
        <f>Pamp_4th!K16</f>
        <v>1092000</v>
      </c>
      <c r="L34" s="622">
        <f>Pamp_4th!L16</f>
        <v>0</v>
      </c>
      <c r="M34" s="17">
        <f>Pamp_4th!M16</f>
        <v>0</v>
      </c>
    </row>
    <row r="35" spans="1:13" x14ac:dyDescent="0.25">
      <c r="A35" s="83" t="s">
        <v>168</v>
      </c>
      <c r="B35" s="426">
        <f>Pamp_4th!B17</f>
        <v>1238</v>
      </c>
      <c r="C35" s="100">
        <f>Pamp_4th!C17</f>
        <v>18570000</v>
      </c>
      <c r="D35" s="426">
        <f>Pamp_4th!D17</f>
        <v>1304</v>
      </c>
      <c r="E35" s="100">
        <f>Pamp_4th!E17</f>
        <v>14218000</v>
      </c>
      <c r="F35" s="30">
        <f>Pamp_4th!F17</f>
        <v>220</v>
      </c>
      <c r="G35" s="384">
        <f>Pamp_4th!G17</f>
        <v>2200000</v>
      </c>
      <c r="H35" s="30">
        <f>Pamp_4th!H17</f>
        <v>193</v>
      </c>
      <c r="I35" s="384">
        <f>Pamp_4th!I17</f>
        <v>1210000</v>
      </c>
      <c r="J35" s="622">
        <f>Pamp_4th!J17</f>
        <v>500</v>
      </c>
      <c r="K35" s="17">
        <f>Pamp_4th!K17</f>
        <v>780000</v>
      </c>
      <c r="L35" s="622">
        <f>Pamp_4th!L17</f>
        <v>745</v>
      </c>
      <c r="M35" s="17">
        <f>Pamp_4th!M17</f>
        <v>823225</v>
      </c>
    </row>
    <row r="36" spans="1:13" x14ac:dyDescent="0.25">
      <c r="A36" s="83" t="s">
        <v>169</v>
      </c>
      <c r="B36" s="426">
        <f>Pamp_4th!B18</f>
        <v>2104</v>
      </c>
      <c r="C36" s="100">
        <f>Pamp_4th!C18</f>
        <v>31560000</v>
      </c>
      <c r="D36" s="426">
        <f>Pamp_4th!D18</f>
        <v>2070</v>
      </c>
      <c r="E36" s="100">
        <f>Pamp_4th!E18</f>
        <v>22524900</v>
      </c>
      <c r="F36" s="30">
        <f>Pamp_4th!F18</f>
        <v>135</v>
      </c>
      <c r="G36" s="384">
        <f>Pamp_4th!G18</f>
        <v>1350000</v>
      </c>
      <c r="H36" s="30">
        <f>Pamp_4th!H18</f>
        <v>0</v>
      </c>
      <c r="I36" s="384">
        <f>Pamp_4th!I18</f>
        <v>0</v>
      </c>
      <c r="J36" s="622">
        <f>Pamp_4th!J18</f>
        <v>1000</v>
      </c>
      <c r="K36" s="17">
        <f>Pamp_4th!K18</f>
        <v>1560000</v>
      </c>
      <c r="L36" s="622">
        <f>Pamp_4th!L18</f>
        <v>756</v>
      </c>
      <c r="M36" s="17">
        <f>Pamp_4th!M18</f>
        <v>835380</v>
      </c>
    </row>
    <row r="37" spans="1:13" x14ac:dyDescent="0.25">
      <c r="A37" s="83" t="s">
        <v>170</v>
      </c>
      <c r="B37" s="426">
        <f>Pamp_4th!B19</f>
        <v>1374</v>
      </c>
      <c r="C37" s="100">
        <f>Pamp_4th!C19</f>
        <v>20610000</v>
      </c>
      <c r="D37" s="426">
        <f>Pamp_4th!D19</f>
        <v>1363</v>
      </c>
      <c r="E37" s="100">
        <f>Pamp_4th!E19</f>
        <v>14453300</v>
      </c>
      <c r="F37" s="30">
        <f>Pamp_4th!F19</f>
        <v>114</v>
      </c>
      <c r="G37" s="384">
        <f>Pamp_4th!G19</f>
        <v>1140000</v>
      </c>
      <c r="H37" s="30">
        <f>Pamp_4th!H19</f>
        <v>1</v>
      </c>
      <c r="I37" s="384">
        <f>Pamp_4th!I19</f>
        <v>10000</v>
      </c>
      <c r="J37" s="622">
        <f>Pamp_4th!J19</f>
        <v>700</v>
      </c>
      <c r="K37" s="17">
        <f>Pamp_4th!K19</f>
        <v>1092000</v>
      </c>
      <c r="L37" s="622">
        <f>Pamp_4th!L19</f>
        <v>792</v>
      </c>
      <c r="M37" s="17">
        <f>Pamp_4th!M19</f>
        <v>1226160</v>
      </c>
    </row>
    <row r="38" spans="1:13" x14ac:dyDescent="0.25">
      <c r="A38" s="83" t="s">
        <v>171</v>
      </c>
      <c r="B38" s="426">
        <f>Pamp_4th!B20</f>
        <v>800</v>
      </c>
      <c r="C38" s="100">
        <f>Pamp_4th!C20</f>
        <v>12000000</v>
      </c>
      <c r="D38" s="426">
        <f>Pamp_4th!D20</f>
        <v>965</v>
      </c>
      <c r="E38" s="100">
        <f>Pamp_4th!E20</f>
        <v>10247000</v>
      </c>
      <c r="F38" s="30">
        <f>Pamp_4th!F20</f>
        <v>50</v>
      </c>
      <c r="G38" s="384">
        <f>Pamp_4th!G20</f>
        <v>500000</v>
      </c>
      <c r="H38" s="30">
        <f>Pamp_4th!H20</f>
        <v>0</v>
      </c>
      <c r="I38" s="384">
        <f>Pamp_4th!I20</f>
        <v>0</v>
      </c>
      <c r="J38" s="622">
        <f>Pamp_4th!J20</f>
        <v>600</v>
      </c>
      <c r="K38" s="17">
        <f>Pamp_4th!K20</f>
        <v>936000</v>
      </c>
      <c r="L38" s="622">
        <f>Pamp_4th!L20</f>
        <v>520</v>
      </c>
      <c r="M38" s="17">
        <f>Pamp_4th!M20</f>
        <v>916676</v>
      </c>
    </row>
    <row r="40" spans="1:13" s="48" customFormat="1" ht="33" customHeight="1" x14ac:dyDescent="0.25">
      <c r="A40" s="906" t="s">
        <v>3</v>
      </c>
      <c r="B40" s="913" t="s">
        <v>16</v>
      </c>
      <c r="C40" s="914"/>
      <c r="D40" s="914"/>
      <c r="E40" s="915"/>
      <c r="F40" s="913" t="s">
        <v>328</v>
      </c>
      <c r="G40" s="914"/>
      <c r="H40" s="914"/>
      <c r="I40" s="915"/>
      <c r="J40" s="913" t="s">
        <v>329</v>
      </c>
      <c r="K40" s="914"/>
      <c r="L40" s="914"/>
      <c r="M40" s="915"/>
    </row>
    <row r="41" spans="1:13" ht="21" customHeight="1" x14ac:dyDescent="0.25">
      <c r="A41" s="906"/>
      <c r="B41" s="899" t="s">
        <v>327</v>
      </c>
      <c r="C41" s="899"/>
      <c r="D41" s="900" t="s">
        <v>333</v>
      </c>
      <c r="E41" s="901"/>
      <c r="F41" s="899" t="s">
        <v>327</v>
      </c>
      <c r="G41" s="899"/>
      <c r="H41" s="900" t="s">
        <v>333</v>
      </c>
      <c r="I41" s="901"/>
      <c r="J41" s="899" t="s">
        <v>327</v>
      </c>
      <c r="K41" s="899"/>
      <c r="L41" s="900" t="s">
        <v>333</v>
      </c>
      <c r="M41" s="901"/>
    </row>
    <row r="42" spans="1:13" ht="45" customHeight="1" x14ac:dyDescent="0.25">
      <c r="A42" s="906"/>
      <c r="B42" s="581" t="s">
        <v>330</v>
      </c>
      <c r="C42" s="476" t="s">
        <v>60</v>
      </c>
      <c r="D42" s="581" t="s">
        <v>330</v>
      </c>
      <c r="E42" s="17" t="s">
        <v>305</v>
      </c>
      <c r="F42" s="581" t="s">
        <v>253</v>
      </c>
      <c r="G42" s="582" t="s">
        <v>60</v>
      </c>
      <c r="H42" s="581" t="s">
        <v>253</v>
      </c>
      <c r="I42" s="476" t="s">
        <v>305</v>
      </c>
      <c r="J42" s="581" t="s">
        <v>310</v>
      </c>
      <c r="K42" s="476" t="s">
        <v>60</v>
      </c>
      <c r="L42" s="622" t="s">
        <v>310</v>
      </c>
      <c r="M42" s="17" t="s">
        <v>305</v>
      </c>
    </row>
    <row r="43" spans="1:13" s="343" customFormat="1" x14ac:dyDescent="0.25">
      <c r="A43" s="610" t="s">
        <v>14</v>
      </c>
      <c r="B43" s="611">
        <f>B44+B48+B55+B61</f>
        <v>8036</v>
      </c>
      <c r="C43" s="612">
        <f>C44+C48+C55+C61</f>
        <v>48216000</v>
      </c>
      <c r="D43" s="611">
        <f t="shared" ref="D43" si="5">D44+D48+D55+D61</f>
        <v>21823</v>
      </c>
      <c r="E43" s="612">
        <f t="shared" ref="E43" si="6">E44+E48+E55+E61</f>
        <v>120849000</v>
      </c>
      <c r="F43" s="611">
        <f t="shared" ref="F43" si="7">F44+F48+F55+F61</f>
        <v>42</v>
      </c>
      <c r="G43" s="612">
        <f t="shared" ref="G43" si="8">G44+G48+G55+G61</f>
        <v>54291921.740000002</v>
      </c>
      <c r="H43" s="611">
        <f t="shared" ref="H43" si="9">H44+H48+H55+H61</f>
        <v>0</v>
      </c>
      <c r="I43" s="612">
        <f t="shared" ref="I43" si="10">I44+I48+I55+I61</f>
        <v>0</v>
      </c>
      <c r="J43" s="611">
        <f t="shared" ref="J43" si="11">J44+J48+J55+J61</f>
        <v>0</v>
      </c>
      <c r="K43" s="612">
        <f t="shared" ref="K43" si="12">K44+K48+K55+K61</f>
        <v>0</v>
      </c>
      <c r="L43" s="611">
        <f t="shared" ref="L43" si="13">L44+L48+L55+L61</f>
        <v>5158</v>
      </c>
      <c r="M43" s="612">
        <f t="shared" ref="M43" si="14">M44+M48+M55+M61</f>
        <v>19221338</v>
      </c>
    </row>
    <row r="44" spans="1:13" x14ac:dyDescent="0.25">
      <c r="A44" s="349" t="s">
        <v>278</v>
      </c>
      <c r="B44" s="477">
        <f t="shared" ref="B44:M44" si="15">SUM(B45:B47)</f>
        <v>1031</v>
      </c>
      <c r="C44" s="351">
        <f t="shared" si="15"/>
        <v>6186000</v>
      </c>
      <c r="D44" s="477">
        <f t="shared" si="15"/>
        <v>1548</v>
      </c>
      <c r="E44" s="351">
        <f t="shared" si="15"/>
        <v>9288000</v>
      </c>
      <c r="F44" s="477">
        <f t="shared" si="15"/>
        <v>0</v>
      </c>
      <c r="G44" s="351">
        <f t="shared" si="15"/>
        <v>0</v>
      </c>
      <c r="H44" s="477">
        <f t="shared" si="15"/>
        <v>0</v>
      </c>
      <c r="I44" s="351">
        <f t="shared" si="15"/>
        <v>0</v>
      </c>
      <c r="J44" s="477">
        <f t="shared" si="15"/>
        <v>0</v>
      </c>
      <c r="K44" s="351">
        <f t="shared" si="15"/>
        <v>0</v>
      </c>
      <c r="L44" s="630">
        <f t="shared" si="15"/>
        <v>885</v>
      </c>
      <c r="M44" s="351">
        <f t="shared" si="15"/>
        <v>3376000</v>
      </c>
    </row>
    <row r="45" spans="1:13" x14ac:dyDescent="0.25">
      <c r="A45" s="83" t="s">
        <v>150</v>
      </c>
      <c r="B45" s="30">
        <f>Pamp_1st!B21</f>
        <v>372</v>
      </c>
      <c r="C45" s="17">
        <f>Pamp_1st!C21</f>
        <v>2232000</v>
      </c>
      <c r="D45" s="30">
        <f>Pamp_1st!D21</f>
        <v>575</v>
      </c>
      <c r="E45" s="17">
        <f>Pamp_1st!E21</f>
        <v>3450000</v>
      </c>
      <c r="F45" s="275"/>
      <c r="G45" s="344"/>
      <c r="H45" s="30"/>
      <c r="I45" s="384"/>
      <c r="J45" s="478"/>
      <c r="K45" s="386"/>
      <c r="L45" s="631">
        <f>Pamp_1st!L21</f>
        <v>517</v>
      </c>
      <c r="M45" s="344">
        <f>Pamp_1st!M21</f>
        <v>1968000</v>
      </c>
    </row>
    <row r="46" spans="1:13" x14ac:dyDescent="0.25">
      <c r="A46" s="83" t="s">
        <v>151</v>
      </c>
      <c r="B46" s="30">
        <f>Pamp_1st!B22</f>
        <v>337</v>
      </c>
      <c r="C46" s="17">
        <f>Pamp_1st!C22</f>
        <v>2022000</v>
      </c>
      <c r="D46" s="30">
        <f>Pamp_1st!D22</f>
        <v>528</v>
      </c>
      <c r="E46" s="17">
        <f>Pamp_1st!E22</f>
        <v>3168000</v>
      </c>
      <c r="F46" s="275"/>
      <c r="G46" s="344"/>
      <c r="H46" s="30"/>
      <c r="I46" s="384"/>
      <c r="J46" s="478"/>
      <c r="K46" s="386"/>
      <c r="L46" s="631">
        <f>Pamp_1st!L22</f>
        <v>231</v>
      </c>
      <c r="M46" s="344">
        <f>Pamp_1st!M22</f>
        <v>908000</v>
      </c>
    </row>
    <row r="47" spans="1:13" x14ac:dyDescent="0.25">
      <c r="A47" s="83" t="s">
        <v>152</v>
      </c>
      <c r="B47" s="30">
        <f>Pamp_1st!B23</f>
        <v>322</v>
      </c>
      <c r="C47" s="17">
        <f>Pamp_1st!C23</f>
        <v>1932000</v>
      </c>
      <c r="D47" s="30">
        <f>Pamp_1st!D23</f>
        <v>445</v>
      </c>
      <c r="E47" s="17">
        <f>Pamp_1st!E23</f>
        <v>2670000</v>
      </c>
      <c r="F47" s="275"/>
      <c r="G47" s="344"/>
      <c r="H47" s="30"/>
      <c r="I47" s="384"/>
      <c r="J47" s="478"/>
      <c r="K47" s="386"/>
      <c r="L47" s="631">
        <f>Pamp_1st!L23</f>
        <v>137</v>
      </c>
      <c r="M47" s="344">
        <f>Pamp_1st!M23</f>
        <v>500000</v>
      </c>
    </row>
    <row r="48" spans="1:13" x14ac:dyDescent="0.25">
      <c r="A48" s="349" t="s">
        <v>397</v>
      </c>
      <c r="B48" s="477">
        <f t="shared" ref="B48:M48" si="16">SUM(B49:B54)</f>
        <v>2335</v>
      </c>
      <c r="C48" s="351">
        <f t="shared" si="16"/>
        <v>14010000</v>
      </c>
      <c r="D48" s="477">
        <f t="shared" si="16"/>
        <v>12302</v>
      </c>
      <c r="E48" s="351">
        <f t="shared" si="16"/>
        <v>73812000</v>
      </c>
      <c r="F48" s="477">
        <f t="shared" si="16"/>
        <v>12</v>
      </c>
      <c r="G48" s="351">
        <f t="shared" si="16"/>
        <v>17590400</v>
      </c>
      <c r="H48" s="477">
        <f t="shared" si="16"/>
        <v>0</v>
      </c>
      <c r="I48" s="351">
        <f t="shared" si="16"/>
        <v>0</v>
      </c>
      <c r="J48" s="477">
        <f t="shared" si="16"/>
        <v>0</v>
      </c>
      <c r="K48" s="351">
        <f t="shared" si="16"/>
        <v>0</v>
      </c>
      <c r="L48" s="630">
        <f t="shared" si="16"/>
        <v>562</v>
      </c>
      <c r="M48" s="351">
        <f t="shared" si="16"/>
        <v>1953000</v>
      </c>
    </row>
    <row r="49" spans="1:13" x14ac:dyDescent="0.25">
      <c r="A49" s="83" t="s">
        <v>153</v>
      </c>
      <c r="B49" s="30">
        <f>Pamp_2nd!B24</f>
        <v>328</v>
      </c>
      <c r="C49" s="17">
        <f>Pamp_2nd!C24</f>
        <v>1968000</v>
      </c>
      <c r="D49" s="30">
        <f>Pamp_2nd!D24</f>
        <v>682</v>
      </c>
      <c r="E49" s="17">
        <f>Pamp_2nd!E24</f>
        <v>4092000</v>
      </c>
      <c r="F49" s="581">
        <f>Pamp_2nd!F24</f>
        <v>1</v>
      </c>
      <c r="G49" s="17">
        <f>Pamp_2nd!G24</f>
        <v>1500000</v>
      </c>
      <c r="H49" s="617">
        <f>Pamp_2nd!H24</f>
        <v>0</v>
      </c>
      <c r="I49" s="17">
        <f>Pamp_2nd!I24</f>
        <v>0</v>
      </c>
      <c r="J49" s="478"/>
      <c r="K49" s="386"/>
      <c r="L49" s="631">
        <f>Pamp_2nd!L24</f>
        <v>164</v>
      </c>
      <c r="M49" s="344">
        <f>Pamp_2nd!M24</f>
        <v>521500</v>
      </c>
    </row>
    <row r="50" spans="1:13" x14ac:dyDescent="0.25">
      <c r="A50" s="83" t="s">
        <v>154</v>
      </c>
      <c r="B50" s="30">
        <f>Pamp_2nd!B25</f>
        <v>514</v>
      </c>
      <c r="C50" s="17">
        <f>Pamp_2nd!C25</f>
        <v>3084000</v>
      </c>
      <c r="D50" s="30">
        <f>Pamp_2nd!D25</f>
        <v>787</v>
      </c>
      <c r="E50" s="17">
        <f>Pamp_2nd!E25</f>
        <v>4722000</v>
      </c>
      <c r="F50" s="617">
        <f>Pamp_2nd!F25</f>
        <v>3</v>
      </c>
      <c r="G50" s="17">
        <f>Pamp_2nd!G25</f>
        <v>3196000</v>
      </c>
      <c r="H50" s="617">
        <f>Pamp_2nd!H25</f>
        <v>0</v>
      </c>
      <c r="I50" s="17">
        <f>Pamp_2nd!I25</f>
        <v>0</v>
      </c>
      <c r="J50" s="478"/>
      <c r="K50" s="386"/>
      <c r="L50" s="631">
        <f>Pamp_2nd!L25</f>
        <v>123</v>
      </c>
      <c r="M50" s="344">
        <f>Pamp_2nd!M25</f>
        <v>506500</v>
      </c>
    </row>
    <row r="51" spans="1:13" x14ac:dyDescent="0.25">
      <c r="A51" s="83" t="s">
        <v>155</v>
      </c>
      <c r="B51" s="30">
        <f>Pamp_2nd!B26</f>
        <v>469</v>
      </c>
      <c r="C51" s="17">
        <f>Pamp_2nd!C26</f>
        <v>2814000</v>
      </c>
      <c r="D51" s="30">
        <f>Pamp_2nd!D26</f>
        <v>959</v>
      </c>
      <c r="E51" s="17">
        <f>Pamp_2nd!E26</f>
        <v>5754000</v>
      </c>
      <c r="F51" s="617">
        <f>Pamp_2nd!F26</f>
        <v>1</v>
      </c>
      <c r="G51" s="17">
        <f>Pamp_2nd!G26</f>
        <v>1000000</v>
      </c>
      <c r="H51" s="617">
        <f>Pamp_2nd!H26</f>
        <v>0</v>
      </c>
      <c r="I51" s="17">
        <f>Pamp_2nd!I26</f>
        <v>0</v>
      </c>
      <c r="J51" s="478"/>
      <c r="K51" s="386"/>
      <c r="L51" s="631">
        <f>Pamp_2nd!L26</f>
        <v>98</v>
      </c>
      <c r="M51" s="344">
        <f>Pamp_2nd!M26</f>
        <v>382000</v>
      </c>
    </row>
    <row r="52" spans="1:13" x14ac:dyDescent="0.25">
      <c r="A52" s="83" t="s">
        <v>156</v>
      </c>
      <c r="B52" s="30">
        <f>Pamp_2nd!B27</f>
        <v>394</v>
      </c>
      <c r="C52" s="17">
        <f>Pamp_2nd!C27</f>
        <v>2364000</v>
      </c>
      <c r="D52" s="30">
        <f>Pamp_2nd!D27</f>
        <v>8814</v>
      </c>
      <c r="E52" s="17">
        <f>Pamp_2nd!E27</f>
        <v>52884000</v>
      </c>
      <c r="F52" s="617">
        <f>Pamp_2nd!F27</f>
        <v>1</v>
      </c>
      <c r="G52" s="17">
        <f>Pamp_2nd!G27</f>
        <v>4100000</v>
      </c>
      <c r="H52" s="617">
        <f>Pamp_2nd!H27</f>
        <v>0</v>
      </c>
      <c r="I52" s="17">
        <f>Pamp_2nd!I27</f>
        <v>0</v>
      </c>
      <c r="J52" s="478"/>
      <c r="K52" s="386"/>
      <c r="L52" s="631">
        <f>Pamp_2nd!L27</f>
        <v>39</v>
      </c>
      <c r="M52" s="344">
        <f>Pamp_2nd!M27</f>
        <v>185000</v>
      </c>
    </row>
    <row r="53" spans="1:13" x14ac:dyDescent="0.25">
      <c r="A53" s="83" t="s">
        <v>157</v>
      </c>
      <c r="B53" s="30">
        <f>Pamp_2nd!B28</f>
        <v>324</v>
      </c>
      <c r="C53" s="17">
        <f>Pamp_2nd!C28</f>
        <v>1944000</v>
      </c>
      <c r="D53" s="30">
        <f>Pamp_2nd!D28</f>
        <v>504</v>
      </c>
      <c r="E53" s="17">
        <f>Pamp_2nd!E28</f>
        <v>3024000</v>
      </c>
      <c r="F53" s="617">
        <f>Pamp_2nd!F28</f>
        <v>3</v>
      </c>
      <c r="G53" s="17">
        <f>Pamp_2nd!G28</f>
        <v>3594400</v>
      </c>
      <c r="H53" s="617">
        <f>Pamp_2nd!H28</f>
        <v>0</v>
      </c>
      <c r="I53" s="17">
        <f>Pamp_2nd!I28</f>
        <v>0</v>
      </c>
      <c r="J53" s="478"/>
      <c r="K53" s="386"/>
      <c r="L53" s="631">
        <f>Pamp_2nd!L28</f>
        <v>108</v>
      </c>
      <c r="M53" s="344">
        <f>Pamp_2nd!M28</f>
        <v>234000</v>
      </c>
    </row>
    <row r="54" spans="1:13" x14ac:dyDescent="0.25">
      <c r="A54" s="83" t="s">
        <v>158</v>
      </c>
      <c r="B54" s="30">
        <f>Pamp_2nd!B29</f>
        <v>306</v>
      </c>
      <c r="C54" s="17">
        <f>Pamp_2nd!C29</f>
        <v>1836000</v>
      </c>
      <c r="D54" s="30">
        <f>Pamp_2nd!D29</f>
        <v>556</v>
      </c>
      <c r="E54" s="17">
        <f>Pamp_2nd!E29</f>
        <v>3336000</v>
      </c>
      <c r="F54" s="617">
        <f>Pamp_2nd!F29</f>
        <v>3</v>
      </c>
      <c r="G54" s="17">
        <f>Pamp_2nd!G29</f>
        <v>4200000</v>
      </c>
      <c r="H54" s="617">
        <f>Pamp_2nd!H29</f>
        <v>0</v>
      </c>
      <c r="I54" s="17">
        <f>Pamp_2nd!I29</f>
        <v>0</v>
      </c>
      <c r="J54" s="478"/>
      <c r="K54" s="386"/>
      <c r="L54" s="631">
        <f>Pamp_2nd!L29</f>
        <v>30</v>
      </c>
      <c r="M54" s="344">
        <f>Pamp_2nd!M29</f>
        <v>124000</v>
      </c>
    </row>
    <row r="55" spans="1:13" x14ac:dyDescent="0.25">
      <c r="A55" s="349" t="s">
        <v>406</v>
      </c>
      <c r="B55" s="477">
        <f t="shared" ref="B55:M55" si="17">SUM(B56:B60)</f>
        <v>1805</v>
      </c>
      <c r="C55" s="351">
        <f t="shared" si="17"/>
        <v>10830000</v>
      </c>
      <c r="D55" s="477">
        <f t="shared" si="17"/>
        <v>3363</v>
      </c>
      <c r="E55" s="351">
        <f t="shared" si="17"/>
        <v>10089000</v>
      </c>
      <c r="F55" s="477">
        <f t="shared" si="17"/>
        <v>13</v>
      </c>
      <c r="G55" s="351">
        <f t="shared" si="17"/>
        <v>16875000</v>
      </c>
      <c r="H55" s="477">
        <f t="shared" si="17"/>
        <v>0</v>
      </c>
      <c r="I55" s="351">
        <f t="shared" si="17"/>
        <v>0</v>
      </c>
      <c r="J55" s="477">
        <f t="shared" si="17"/>
        <v>0</v>
      </c>
      <c r="K55" s="351">
        <f t="shared" si="17"/>
        <v>0</v>
      </c>
      <c r="L55" s="630">
        <f t="shared" si="17"/>
        <v>1902</v>
      </c>
      <c r="M55" s="351">
        <f t="shared" si="17"/>
        <v>6715800</v>
      </c>
    </row>
    <row r="56" spans="1:13" x14ac:dyDescent="0.25">
      <c r="A56" s="83" t="s">
        <v>159</v>
      </c>
      <c r="B56" s="30">
        <f>Pamp_3rd!B23</f>
        <v>369</v>
      </c>
      <c r="C56" s="624">
        <f>Pamp_3rd!C23</f>
        <v>2214000</v>
      </c>
      <c r="D56" s="30">
        <f>Pamp_3rd!D23</f>
        <v>629</v>
      </c>
      <c r="E56" s="624">
        <f>Pamp_3rd!E23</f>
        <v>1887000</v>
      </c>
      <c r="F56" s="581">
        <f>Pamp_3rd!F23</f>
        <v>4</v>
      </c>
      <c r="G56" s="17">
        <f>Pamp_3rd!G23</f>
        <v>2750000</v>
      </c>
      <c r="H56" s="622">
        <f>Pamp_3rd!H23</f>
        <v>0</v>
      </c>
      <c r="I56" s="17">
        <f>Pamp_3rd!I23</f>
        <v>0</v>
      </c>
      <c r="J56" s="478"/>
      <c r="K56" s="386"/>
      <c r="L56" s="631">
        <f>Pamp_3rd!L23</f>
        <v>226</v>
      </c>
      <c r="M56" s="344">
        <f>Pamp_3rd!M23</f>
        <v>743800</v>
      </c>
    </row>
    <row r="57" spans="1:13" x14ac:dyDescent="0.25">
      <c r="A57" s="83" t="s">
        <v>160</v>
      </c>
      <c r="B57" s="30">
        <f>Pamp_3rd!B24</f>
        <v>313</v>
      </c>
      <c r="C57" s="624">
        <f>Pamp_3rd!C24</f>
        <v>1878000</v>
      </c>
      <c r="D57" s="30">
        <f>Pamp_3rd!D24</f>
        <v>449</v>
      </c>
      <c r="E57" s="624">
        <f>Pamp_3rd!E24</f>
        <v>1347000</v>
      </c>
      <c r="F57" s="622">
        <f>Pamp_3rd!F24</f>
        <v>3</v>
      </c>
      <c r="G57" s="17">
        <f>Pamp_3rd!G24</f>
        <v>3500000</v>
      </c>
      <c r="H57" s="622">
        <f>Pamp_3rd!H24</f>
        <v>0</v>
      </c>
      <c r="I57" s="17">
        <f>Pamp_3rd!I24</f>
        <v>0</v>
      </c>
      <c r="J57" s="478"/>
      <c r="K57" s="386"/>
      <c r="L57" s="631">
        <f>Pamp_3rd!L24</f>
        <v>137</v>
      </c>
      <c r="M57" s="344">
        <f>Pamp_3rd!M24</f>
        <v>513000</v>
      </c>
    </row>
    <row r="58" spans="1:13" ht="30" x14ac:dyDescent="0.25">
      <c r="A58" s="83" t="s">
        <v>161</v>
      </c>
      <c r="B58" s="30">
        <f>Pamp_3rd!B25</f>
        <v>350</v>
      </c>
      <c r="C58" s="624">
        <f>Pamp_3rd!C25</f>
        <v>2100000</v>
      </c>
      <c r="D58" s="30">
        <f>Pamp_3rd!D25</f>
        <v>602</v>
      </c>
      <c r="E58" s="624">
        <f>Pamp_3rd!E25</f>
        <v>1806000</v>
      </c>
      <c r="F58" s="622">
        <f>Pamp_3rd!F25</f>
        <v>2</v>
      </c>
      <c r="G58" s="17">
        <f>Pamp_3rd!G25</f>
        <v>5050000</v>
      </c>
      <c r="H58" s="622">
        <f>Pamp_3rd!H25</f>
        <v>0</v>
      </c>
      <c r="I58" s="17">
        <f>Pamp_3rd!I25</f>
        <v>0</v>
      </c>
      <c r="J58" s="478"/>
      <c r="K58" s="386"/>
      <c r="L58" s="631">
        <f>Pamp_3rd!L25</f>
        <v>952</v>
      </c>
      <c r="M58" s="344">
        <f>Pamp_3rd!M25</f>
        <v>3434500</v>
      </c>
    </row>
    <row r="59" spans="1:13" x14ac:dyDescent="0.25">
      <c r="A59" s="83" t="s">
        <v>162</v>
      </c>
      <c r="B59" s="30">
        <f>Pamp_3rd!B26</f>
        <v>456</v>
      </c>
      <c r="C59" s="624">
        <f>Pamp_3rd!C26</f>
        <v>2736000</v>
      </c>
      <c r="D59" s="30">
        <f>Pamp_3rd!D26</f>
        <v>943</v>
      </c>
      <c r="E59" s="624">
        <f>Pamp_3rd!E26</f>
        <v>2829000</v>
      </c>
      <c r="F59" s="622">
        <f>Pamp_3rd!F26</f>
        <v>2</v>
      </c>
      <c r="G59" s="17">
        <f>Pamp_3rd!G26</f>
        <v>3500000</v>
      </c>
      <c r="H59" s="622">
        <f>Pamp_3rd!H26</f>
        <v>0</v>
      </c>
      <c r="I59" s="17">
        <f>Pamp_3rd!I26</f>
        <v>0</v>
      </c>
      <c r="J59" s="478"/>
      <c r="K59" s="386"/>
      <c r="L59" s="631">
        <f>Pamp_3rd!L26</f>
        <v>447</v>
      </c>
      <c r="M59" s="344">
        <f>Pamp_3rd!M26</f>
        <v>1567000</v>
      </c>
    </row>
    <row r="60" spans="1:13" x14ac:dyDescent="0.25">
      <c r="A60" s="83" t="s">
        <v>163</v>
      </c>
      <c r="B60" s="30">
        <f>Pamp_3rd!B27</f>
        <v>317</v>
      </c>
      <c r="C60" s="624">
        <f>Pamp_3rd!C27</f>
        <v>1902000</v>
      </c>
      <c r="D60" s="30">
        <f>Pamp_3rd!D27</f>
        <v>740</v>
      </c>
      <c r="E60" s="624">
        <f>Pamp_3rd!E27</f>
        <v>2220000</v>
      </c>
      <c r="F60" s="622">
        <f>Pamp_3rd!F27</f>
        <v>2</v>
      </c>
      <c r="G60" s="17">
        <f>Pamp_3rd!G27</f>
        <v>2075000</v>
      </c>
      <c r="H60" s="622">
        <f>Pamp_3rd!H27</f>
        <v>0</v>
      </c>
      <c r="I60" s="17">
        <f>Pamp_3rd!I27</f>
        <v>0</v>
      </c>
      <c r="J60" s="478"/>
      <c r="K60" s="386"/>
      <c r="L60" s="631">
        <f>Pamp_3rd!L27</f>
        <v>140</v>
      </c>
      <c r="M60" s="344">
        <f>Pamp_3rd!M27</f>
        <v>457500</v>
      </c>
    </row>
    <row r="61" spans="1:13" x14ac:dyDescent="0.25">
      <c r="A61" s="349" t="s">
        <v>399</v>
      </c>
      <c r="B61" s="477">
        <f t="shared" ref="B61:M61" si="18">SUM(B62:B69)</f>
        <v>2865</v>
      </c>
      <c r="C61" s="351">
        <f t="shared" si="18"/>
        <v>17190000</v>
      </c>
      <c r="D61" s="477">
        <f t="shared" si="18"/>
        <v>4610</v>
      </c>
      <c r="E61" s="351">
        <f t="shared" si="18"/>
        <v>27660000</v>
      </c>
      <c r="F61" s="477">
        <f t="shared" si="18"/>
        <v>17</v>
      </c>
      <c r="G61" s="351">
        <f t="shared" si="18"/>
        <v>19826521.740000002</v>
      </c>
      <c r="H61" s="477">
        <f t="shared" si="18"/>
        <v>0</v>
      </c>
      <c r="I61" s="351">
        <f t="shared" si="18"/>
        <v>0</v>
      </c>
      <c r="J61" s="477">
        <f t="shared" si="18"/>
        <v>0</v>
      </c>
      <c r="K61" s="351">
        <f t="shared" si="18"/>
        <v>0</v>
      </c>
      <c r="L61" s="630">
        <f t="shared" si="18"/>
        <v>1809</v>
      </c>
      <c r="M61" s="351">
        <f t="shared" si="18"/>
        <v>7176538</v>
      </c>
    </row>
    <row r="62" spans="1:13" x14ac:dyDescent="0.25">
      <c r="A62" s="83" t="s">
        <v>164</v>
      </c>
      <c r="B62" s="30">
        <f>Pamp_4th!B26</f>
        <v>413</v>
      </c>
      <c r="C62" s="624">
        <f>Pamp_4th!C26</f>
        <v>2478000</v>
      </c>
      <c r="D62" s="30">
        <f>Pamp_4th!D26</f>
        <v>785</v>
      </c>
      <c r="E62" s="624">
        <f>Pamp_4th!E26</f>
        <v>4710000</v>
      </c>
      <c r="F62" s="260">
        <f>Pamp_4th!F26</f>
        <v>2</v>
      </c>
      <c r="G62" s="628">
        <f>Pamp_4th!G26</f>
        <v>1900000</v>
      </c>
      <c r="H62" s="260">
        <f>Pamp_4th!H26</f>
        <v>0</v>
      </c>
      <c r="I62" s="628">
        <f>Pamp_4th!I26</f>
        <v>0</v>
      </c>
      <c r="J62" s="478"/>
      <c r="K62" s="386"/>
      <c r="L62" s="631">
        <f>Pamp_4th!L26</f>
        <v>155</v>
      </c>
      <c r="M62" s="344">
        <f>Pamp_4th!M26</f>
        <v>724531</v>
      </c>
    </row>
    <row r="63" spans="1:13" x14ac:dyDescent="0.25">
      <c r="A63" s="83" t="s">
        <v>165</v>
      </c>
      <c r="B63" s="30">
        <f>Pamp_4th!B27</f>
        <v>457</v>
      </c>
      <c r="C63" s="624">
        <f>Pamp_4th!C27</f>
        <v>2742000</v>
      </c>
      <c r="D63" s="30">
        <f>Pamp_4th!D27</f>
        <v>698</v>
      </c>
      <c r="E63" s="624">
        <f>Pamp_4th!E27</f>
        <v>4188000</v>
      </c>
      <c r="F63" s="260">
        <f>Pamp_4th!F27</f>
        <v>2</v>
      </c>
      <c r="G63" s="628">
        <f>Pamp_4th!G27</f>
        <v>6500000</v>
      </c>
      <c r="H63" s="260">
        <f>Pamp_4th!H27</f>
        <v>0</v>
      </c>
      <c r="I63" s="628">
        <f>Pamp_4th!I27</f>
        <v>0</v>
      </c>
      <c r="J63" s="478"/>
      <c r="K63" s="386"/>
      <c r="L63" s="631">
        <f>Pamp_4th!L27</f>
        <v>355</v>
      </c>
      <c r="M63" s="344">
        <f>Pamp_4th!M27</f>
        <v>1455300</v>
      </c>
    </row>
    <row r="64" spans="1:13" x14ac:dyDescent="0.25">
      <c r="A64" s="83" t="s">
        <v>166</v>
      </c>
      <c r="B64" s="30">
        <f>Pamp_4th!B28</f>
        <v>338</v>
      </c>
      <c r="C64" s="624">
        <f>Pamp_4th!C28</f>
        <v>2028000</v>
      </c>
      <c r="D64" s="30">
        <f>Pamp_4th!D28</f>
        <v>438</v>
      </c>
      <c r="E64" s="624">
        <f>Pamp_4th!E28</f>
        <v>2628000</v>
      </c>
      <c r="F64" s="260">
        <f>Pamp_4th!F28</f>
        <v>4</v>
      </c>
      <c r="G64" s="628">
        <f>Pamp_4th!G28</f>
        <v>2500000</v>
      </c>
      <c r="H64" s="260">
        <f>Pamp_4th!H28</f>
        <v>0</v>
      </c>
      <c r="I64" s="628">
        <f>Pamp_4th!I28</f>
        <v>0</v>
      </c>
      <c r="J64" s="478"/>
      <c r="K64" s="386"/>
      <c r="L64" s="631">
        <f>Pamp_4th!L28</f>
        <v>577</v>
      </c>
      <c r="M64" s="344">
        <f>Pamp_4th!M28</f>
        <v>2041100</v>
      </c>
    </row>
    <row r="65" spans="1:13" x14ac:dyDescent="0.25">
      <c r="A65" s="83" t="s">
        <v>167</v>
      </c>
      <c r="B65" s="30">
        <f>Pamp_4th!B29</f>
        <v>318</v>
      </c>
      <c r="C65" s="624">
        <f>Pamp_4th!C29</f>
        <v>1908000</v>
      </c>
      <c r="D65" s="30">
        <f>Pamp_4th!D29</f>
        <v>459</v>
      </c>
      <c r="E65" s="624">
        <f>Pamp_4th!E29</f>
        <v>2754000</v>
      </c>
      <c r="F65" s="260">
        <f>Pamp_4th!F29</f>
        <v>2</v>
      </c>
      <c r="G65" s="628">
        <f>Pamp_4th!G29</f>
        <v>2956521.74</v>
      </c>
      <c r="H65" s="260">
        <f>Pamp_4th!H29</f>
        <v>0</v>
      </c>
      <c r="I65" s="628">
        <f>Pamp_4th!I29</f>
        <v>0</v>
      </c>
      <c r="J65" s="478"/>
      <c r="K65" s="386"/>
      <c r="L65" s="631">
        <f>Pamp_4th!L29</f>
        <v>139</v>
      </c>
      <c r="M65" s="344">
        <f>Pamp_4th!M29</f>
        <v>614243</v>
      </c>
    </row>
    <row r="66" spans="1:13" x14ac:dyDescent="0.25">
      <c r="A66" s="83" t="s">
        <v>168</v>
      </c>
      <c r="B66" s="30">
        <f>Pamp_4th!B30</f>
        <v>354</v>
      </c>
      <c r="C66" s="624">
        <f>Pamp_4th!C30</f>
        <v>2124000</v>
      </c>
      <c r="D66" s="30">
        <f>Pamp_4th!D30</f>
        <v>705</v>
      </c>
      <c r="E66" s="624">
        <f>Pamp_4th!E30</f>
        <v>4230000</v>
      </c>
      <c r="F66" s="260">
        <f>Pamp_4th!F30</f>
        <v>3</v>
      </c>
      <c r="G66" s="628">
        <f>Pamp_4th!G30</f>
        <v>1970000</v>
      </c>
      <c r="H66" s="260">
        <f>Pamp_4th!H30</f>
        <v>0</v>
      </c>
      <c r="I66" s="628">
        <f>Pamp_4th!I30</f>
        <v>0</v>
      </c>
      <c r="J66" s="478"/>
      <c r="K66" s="386"/>
      <c r="L66" s="631">
        <f>Pamp_4th!L30</f>
        <v>168</v>
      </c>
      <c r="M66" s="344">
        <f>Pamp_4th!M30</f>
        <v>587324</v>
      </c>
    </row>
    <row r="67" spans="1:13" x14ac:dyDescent="0.25">
      <c r="A67" s="83" t="s">
        <v>169</v>
      </c>
      <c r="B67" s="30">
        <f>Pamp_4th!B31</f>
        <v>348</v>
      </c>
      <c r="C67" s="624">
        <f>Pamp_4th!C31</f>
        <v>2088000</v>
      </c>
      <c r="D67" s="30">
        <f>Pamp_4th!D31</f>
        <v>635</v>
      </c>
      <c r="E67" s="624">
        <f>Pamp_4th!E31</f>
        <v>3810000</v>
      </c>
      <c r="F67" s="260">
        <f>Pamp_4th!F31</f>
        <v>1</v>
      </c>
      <c r="G67" s="628">
        <f>Pamp_4th!G31</f>
        <v>850000</v>
      </c>
      <c r="H67" s="260">
        <f>Pamp_4th!H31</f>
        <v>0</v>
      </c>
      <c r="I67" s="628">
        <f>Pamp_4th!I31</f>
        <v>0</v>
      </c>
      <c r="J67" s="478"/>
      <c r="K67" s="386"/>
      <c r="L67" s="631">
        <f>Pamp_4th!L31</f>
        <v>57</v>
      </c>
      <c r="M67" s="344">
        <f>Pamp_4th!M31</f>
        <v>252500</v>
      </c>
    </row>
    <row r="68" spans="1:13" x14ac:dyDescent="0.25">
      <c r="A68" s="83" t="s">
        <v>170</v>
      </c>
      <c r="B68" s="30">
        <f>Pamp_4th!B32</f>
        <v>327</v>
      </c>
      <c r="C68" s="624">
        <f>Pamp_4th!C32</f>
        <v>1962000</v>
      </c>
      <c r="D68" s="30">
        <f>Pamp_4th!D32</f>
        <v>407</v>
      </c>
      <c r="E68" s="624">
        <f>Pamp_4th!E32</f>
        <v>2442000</v>
      </c>
      <c r="F68" s="260">
        <f>Pamp_4th!F32</f>
        <v>3</v>
      </c>
      <c r="G68" s="628">
        <f>Pamp_4th!G32</f>
        <v>3150000</v>
      </c>
      <c r="H68" s="260">
        <f>Pamp_4th!H32</f>
        <v>0</v>
      </c>
      <c r="I68" s="628">
        <f>Pamp_4th!I32</f>
        <v>0</v>
      </c>
      <c r="J68" s="478"/>
      <c r="K68" s="386"/>
      <c r="L68" s="631">
        <f>Pamp_4th!L32</f>
        <v>142</v>
      </c>
      <c r="M68" s="344">
        <f>Pamp_4th!M32</f>
        <v>658840</v>
      </c>
    </row>
    <row r="69" spans="1:13" x14ac:dyDescent="0.25">
      <c r="A69" s="83" t="s">
        <v>171</v>
      </c>
      <c r="B69" s="30">
        <f>Pamp_4th!B33</f>
        <v>310</v>
      </c>
      <c r="C69" s="624">
        <f>Pamp_4th!C33</f>
        <v>1860000</v>
      </c>
      <c r="D69" s="30">
        <f>Pamp_4th!D33</f>
        <v>483</v>
      </c>
      <c r="E69" s="624">
        <f>Pamp_4th!E33</f>
        <v>2898000</v>
      </c>
      <c r="F69" s="260">
        <f>Pamp_4th!F33</f>
        <v>0</v>
      </c>
      <c r="G69" s="628">
        <f>Pamp_4th!G33</f>
        <v>0</v>
      </c>
      <c r="H69" s="260">
        <f>Pamp_4th!H33</f>
        <v>0</v>
      </c>
      <c r="I69" s="628">
        <f>Pamp_4th!I33</f>
        <v>0</v>
      </c>
      <c r="J69" s="478"/>
      <c r="K69" s="386"/>
      <c r="L69" s="631">
        <f>Pamp_4th!L33</f>
        <v>216</v>
      </c>
      <c r="M69" s="344">
        <f>Pamp_4th!M33</f>
        <v>842700</v>
      </c>
    </row>
    <row r="71" spans="1:13" ht="39.75" customHeight="1" x14ac:dyDescent="0.25">
      <c r="A71" s="906" t="s">
        <v>3</v>
      </c>
      <c r="B71" s="986" t="s">
        <v>331</v>
      </c>
      <c r="C71" s="900"/>
      <c r="D71" s="900"/>
      <c r="E71" s="901"/>
      <c r="F71" s="913" t="s">
        <v>404</v>
      </c>
      <c r="G71" s="914"/>
      <c r="H71" s="914"/>
      <c r="I71" s="915"/>
      <c r="J71" s="913" t="s">
        <v>403</v>
      </c>
      <c r="K71" s="914"/>
      <c r="L71" s="914"/>
      <c r="M71" s="915"/>
    </row>
    <row r="72" spans="1:13" x14ac:dyDescent="0.25">
      <c r="A72" s="906"/>
      <c r="B72" s="899" t="s">
        <v>327</v>
      </c>
      <c r="C72" s="899"/>
      <c r="D72" s="900" t="s">
        <v>333</v>
      </c>
      <c r="E72" s="901"/>
      <c r="F72" s="899" t="s">
        <v>327</v>
      </c>
      <c r="G72" s="899"/>
      <c r="H72" s="900" t="s">
        <v>333</v>
      </c>
      <c r="I72" s="901"/>
      <c r="J72" s="899" t="s">
        <v>327</v>
      </c>
      <c r="K72" s="899"/>
      <c r="L72" s="900" t="s">
        <v>333</v>
      </c>
      <c r="M72" s="901"/>
    </row>
    <row r="73" spans="1:13" ht="45" x14ac:dyDescent="0.25">
      <c r="A73" s="906"/>
      <c r="B73" s="581" t="s">
        <v>308</v>
      </c>
      <c r="C73" s="476" t="s">
        <v>60</v>
      </c>
      <c r="D73" s="581" t="s">
        <v>332</v>
      </c>
      <c r="E73" s="17" t="s">
        <v>305</v>
      </c>
      <c r="F73" s="581" t="s">
        <v>308</v>
      </c>
      <c r="G73" s="582" t="s">
        <v>60</v>
      </c>
      <c r="H73" s="581" t="s">
        <v>253</v>
      </c>
      <c r="I73" s="17" t="s">
        <v>305</v>
      </c>
      <c r="J73" s="581" t="s">
        <v>310</v>
      </c>
      <c r="K73" s="476" t="s">
        <v>60</v>
      </c>
      <c r="L73" s="622" t="s">
        <v>310</v>
      </c>
      <c r="M73" s="17" t="s">
        <v>305</v>
      </c>
    </row>
    <row r="74" spans="1:13" s="343" customFormat="1" x14ac:dyDescent="0.25">
      <c r="A74" s="610" t="s">
        <v>14</v>
      </c>
      <c r="B74" s="611">
        <f>B75+B79+B86+B92</f>
        <v>0</v>
      </c>
      <c r="C74" s="612">
        <f>C75+C79+C86+C92</f>
        <v>0</v>
      </c>
      <c r="D74" s="611">
        <f t="shared" ref="D74:M74" si="19">D75+D79+D86+D92</f>
        <v>54</v>
      </c>
      <c r="E74" s="612">
        <f t="shared" si="19"/>
        <v>214699</v>
      </c>
      <c r="F74" s="611">
        <f t="shared" si="19"/>
        <v>0</v>
      </c>
      <c r="G74" s="612">
        <f t="shared" si="19"/>
        <v>0</v>
      </c>
      <c r="H74" s="611">
        <f t="shared" si="19"/>
        <v>0</v>
      </c>
      <c r="I74" s="612">
        <f t="shared" si="19"/>
        <v>0</v>
      </c>
      <c r="J74" s="611">
        <f t="shared" si="19"/>
        <v>0</v>
      </c>
      <c r="K74" s="612">
        <f t="shared" si="19"/>
        <v>0</v>
      </c>
      <c r="L74" s="611">
        <f t="shared" si="19"/>
        <v>0</v>
      </c>
      <c r="M74" s="612">
        <f t="shared" si="19"/>
        <v>0</v>
      </c>
    </row>
    <row r="75" spans="1:13" x14ac:dyDescent="0.25">
      <c r="A75" s="349" t="s">
        <v>278</v>
      </c>
      <c r="B75" s="477">
        <f>SUM(B76:B78)</f>
        <v>0</v>
      </c>
      <c r="C75" s="351">
        <f>SUM(C76:C78)</f>
        <v>0</v>
      </c>
      <c r="D75" s="477">
        <f>SUM(D76:D78)</f>
        <v>5</v>
      </c>
      <c r="E75" s="351">
        <f>SUM(E76:E78)</f>
        <v>13900</v>
      </c>
      <c r="F75" s="477">
        <f t="shared" ref="F75:I75" si="20">SUM(F76:F78)</f>
        <v>0</v>
      </c>
      <c r="G75" s="351">
        <f t="shared" si="20"/>
        <v>0</v>
      </c>
      <c r="H75" s="477">
        <f t="shared" si="20"/>
        <v>0</v>
      </c>
      <c r="I75" s="351">
        <f t="shared" si="20"/>
        <v>0</v>
      </c>
      <c r="J75" s="477">
        <f t="shared" ref="J75:M75" si="21">SUM(J76:J78)</f>
        <v>0</v>
      </c>
      <c r="K75" s="351">
        <f t="shared" si="21"/>
        <v>0</v>
      </c>
      <c r="L75" s="632">
        <f t="shared" si="21"/>
        <v>0</v>
      </c>
      <c r="M75" s="351">
        <f t="shared" si="21"/>
        <v>0</v>
      </c>
    </row>
    <row r="76" spans="1:13" x14ac:dyDescent="0.25">
      <c r="A76" s="83" t="s">
        <v>150</v>
      </c>
      <c r="B76" s="581"/>
      <c r="C76" s="17"/>
      <c r="D76" s="20">
        <f>Pamp_1st!D29</f>
        <v>2</v>
      </c>
      <c r="E76" s="17">
        <f>Pamp_1st!E29</f>
        <v>1900</v>
      </c>
      <c r="F76" s="275"/>
      <c r="G76" s="275"/>
      <c r="H76" s="275"/>
      <c r="I76" s="344"/>
      <c r="J76" s="275"/>
      <c r="K76" s="344"/>
      <c r="L76" s="30">
        <f>Pamp_1st!H21</f>
        <v>0</v>
      </c>
      <c r="M76" s="384">
        <f>Pamp_1st!I21</f>
        <v>0</v>
      </c>
    </row>
    <row r="77" spans="1:13" x14ac:dyDescent="0.25">
      <c r="A77" s="83" t="s">
        <v>151</v>
      </c>
      <c r="B77" s="581"/>
      <c r="C77" s="17"/>
      <c r="D77" s="20">
        <f>Pamp_1st!D30</f>
        <v>2</v>
      </c>
      <c r="E77" s="17">
        <f>Pamp_1st!E30</f>
        <v>10000</v>
      </c>
      <c r="F77" s="275"/>
      <c r="G77" s="275"/>
      <c r="H77" s="275"/>
      <c r="I77" s="344"/>
      <c r="J77" s="275"/>
      <c r="K77" s="344"/>
      <c r="L77" s="30">
        <f>Pamp_1st!H22</f>
        <v>0</v>
      </c>
      <c r="M77" s="384">
        <f>Pamp_1st!I22</f>
        <v>0</v>
      </c>
    </row>
    <row r="78" spans="1:13" x14ac:dyDescent="0.25">
      <c r="A78" s="83" t="s">
        <v>152</v>
      </c>
      <c r="B78" s="581"/>
      <c r="C78" s="17"/>
      <c r="D78" s="20">
        <f>Pamp_1st!D31</f>
        <v>1</v>
      </c>
      <c r="E78" s="17">
        <f>Pamp_1st!E31</f>
        <v>2000</v>
      </c>
      <c r="F78" s="275"/>
      <c r="G78" s="275"/>
      <c r="H78" s="275"/>
      <c r="I78" s="344"/>
      <c r="J78" s="275"/>
      <c r="K78" s="344"/>
      <c r="L78" s="30">
        <f>Pamp_1st!H23</f>
        <v>0</v>
      </c>
      <c r="M78" s="384">
        <f>Pamp_1st!I23</f>
        <v>0</v>
      </c>
    </row>
    <row r="79" spans="1:13" x14ac:dyDescent="0.25">
      <c r="A79" s="349" t="s">
        <v>397</v>
      </c>
      <c r="B79" s="477">
        <f>SUM(B80:B85)</f>
        <v>0</v>
      </c>
      <c r="C79" s="585">
        <f>SUM(C80:C85)</f>
        <v>0</v>
      </c>
      <c r="D79" s="477">
        <f t="shared" ref="D79:M79" si="22">SUM(D80:D85)</f>
        <v>10</v>
      </c>
      <c r="E79" s="585">
        <f t="shared" si="22"/>
        <v>46000</v>
      </c>
      <c r="F79" s="477">
        <f t="shared" si="22"/>
        <v>0</v>
      </c>
      <c r="G79" s="585">
        <f t="shared" si="22"/>
        <v>0</v>
      </c>
      <c r="H79" s="477">
        <f t="shared" si="22"/>
        <v>0</v>
      </c>
      <c r="I79" s="585">
        <f t="shared" si="22"/>
        <v>0</v>
      </c>
      <c r="J79" s="477">
        <f t="shared" si="22"/>
        <v>0</v>
      </c>
      <c r="K79" s="585">
        <f t="shared" si="22"/>
        <v>0</v>
      </c>
      <c r="L79" s="632">
        <f t="shared" si="22"/>
        <v>0</v>
      </c>
      <c r="M79" s="585">
        <f t="shared" si="22"/>
        <v>0</v>
      </c>
    </row>
    <row r="80" spans="1:13" x14ac:dyDescent="0.25">
      <c r="A80" s="83" t="s">
        <v>153</v>
      </c>
      <c r="B80" s="581"/>
      <c r="C80" s="17"/>
      <c r="D80" s="20">
        <f>Pamp_2nd!D35</f>
        <v>0</v>
      </c>
      <c r="E80" s="17">
        <f>Pamp_2nd!E35</f>
        <v>0</v>
      </c>
      <c r="F80" s="275"/>
      <c r="G80" s="275"/>
      <c r="H80" s="275"/>
      <c r="I80" s="344"/>
      <c r="J80" s="275"/>
      <c r="K80" s="344"/>
      <c r="L80" s="620"/>
      <c r="M80" s="344"/>
    </row>
    <row r="81" spans="1:13" x14ac:dyDescent="0.25">
      <c r="A81" s="83" t="s">
        <v>154</v>
      </c>
      <c r="B81" s="581"/>
      <c r="C81" s="17"/>
      <c r="D81" s="20">
        <f>Pamp_2nd!D36</f>
        <v>2</v>
      </c>
      <c r="E81" s="17">
        <f>Pamp_2nd!E36</f>
        <v>10000</v>
      </c>
      <c r="F81" s="275"/>
      <c r="G81" s="275"/>
      <c r="H81" s="275"/>
      <c r="I81" s="344"/>
      <c r="J81" s="275"/>
      <c r="K81" s="344"/>
      <c r="L81" s="620"/>
      <c r="M81" s="344"/>
    </row>
    <row r="82" spans="1:13" x14ac:dyDescent="0.25">
      <c r="A82" s="83" t="s">
        <v>155</v>
      </c>
      <c r="B82" s="581"/>
      <c r="C82" s="17"/>
      <c r="D82" s="20">
        <f>Pamp_2nd!D37</f>
        <v>6</v>
      </c>
      <c r="E82" s="17">
        <f>Pamp_2nd!E37</f>
        <v>26000</v>
      </c>
      <c r="F82" s="275"/>
      <c r="G82" s="275"/>
      <c r="H82" s="275"/>
      <c r="I82" s="344"/>
      <c r="J82" s="275"/>
      <c r="K82" s="344"/>
      <c r="L82" s="620"/>
      <c r="M82" s="344"/>
    </row>
    <row r="83" spans="1:13" x14ac:dyDescent="0.25">
      <c r="A83" s="83" t="s">
        <v>156</v>
      </c>
      <c r="B83" s="581"/>
      <c r="C83" s="17"/>
      <c r="D83" s="20">
        <f>Pamp_2nd!D38</f>
        <v>0</v>
      </c>
      <c r="E83" s="17">
        <f>Pamp_2nd!E38</f>
        <v>0</v>
      </c>
      <c r="F83" s="275"/>
      <c r="G83" s="275"/>
      <c r="H83" s="275"/>
      <c r="I83" s="344"/>
      <c r="J83" s="275"/>
      <c r="K83" s="344"/>
      <c r="L83" s="620"/>
      <c r="M83" s="344"/>
    </row>
    <row r="84" spans="1:13" x14ac:dyDescent="0.25">
      <c r="A84" s="83" t="s">
        <v>157</v>
      </c>
      <c r="B84" s="581"/>
      <c r="C84" s="17"/>
      <c r="D84" s="20">
        <f>Pamp_2nd!D39</f>
        <v>1</v>
      </c>
      <c r="E84" s="17">
        <f>Pamp_2nd!E39</f>
        <v>5000</v>
      </c>
      <c r="F84" s="275"/>
      <c r="G84" s="275"/>
      <c r="H84" s="275"/>
      <c r="I84" s="344"/>
      <c r="J84" s="275"/>
      <c r="K84" s="344"/>
      <c r="L84" s="620"/>
      <c r="M84" s="344"/>
    </row>
    <row r="85" spans="1:13" x14ac:dyDescent="0.25">
      <c r="A85" s="83" t="s">
        <v>158</v>
      </c>
      <c r="B85" s="581"/>
      <c r="C85" s="17"/>
      <c r="D85" s="20">
        <f>Pamp_2nd!D40</f>
        <v>1</v>
      </c>
      <c r="E85" s="17">
        <f>Pamp_2nd!E40</f>
        <v>5000</v>
      </c>
      <c r="F85" s="275"/>
      <c r="G85" s="275"/>
      <c r="H85" s="275"/>
      <c r="I85" s="344"/>
      <c r="J85" s="275"/>
      <c r="K85" s="344"/>
      <c r="L85" s="620"/>
      <c r="M85" s="344"/>
    </row>
    <row r="86" spans="1:13" x14ac:dyDescent="0.25">
      <c r="A86" s="349" t="s">
        <v>406</v>
      </c>
      <c r="B86" s="477">
        <f>SUM(B87:B91)</f>
        <v>0</v>
      </c>
      <c r="C86" s="585">
        <f>SUM(C87:C91)</f>
        <v>0</v>
      </c>
      <c r="D86" s="477">
        <f t="shared" ref="D86:M86" si="23">SUM(D87:D91)</f>
        <v>26</v>
      </c>
      <c r="E86" s="585">
        <f t="shared" si="23"/>
        <v>108500</v>
      </c>
      <c r="F86" s="477">
        <f t="shared" si="23"/>
        <v>0</v>
      </c>
      <c r="G86" s="585">
        <f t="shared" si="23"/>
        <v>0</v>
      </c>
      <c r="H86" s="477">
        <f t="shared" si="23"/>
        <v>0</v>
      </c>
      <c r="I86" s="585">
        <f t="shared" si="23"/>
        <v>0</v>
      </c>
      <c r="J86" s="477">
        <f t="shared" si="23"/>
        <v>0</v>
      </c>
      <c r="K86" s="585">
        <f t="shared" si="23"/>
        <v>0</v>
      </c>
      <c r="L86" s="632">
        <f t="shared" si="23"/>
        <v>0</v>
      </c>
      <c r="M86" s="585">
        <f t="shared" si="23"/>
        <v>0</v>
      </c>
    </row>
    <row r="87" spans="1:13" x14ac:dyDescent="0.25">
      <c r="A87" s="83" t="s">
        <v>159</v>
      </c>
      <c r="B87" s="581"/>
      <c r="C87" s="17"/>
      <c r="D87" s="20">
        <f>Pamp_3rd!D33</f>
        <v>0</v>
      </c>
      <c r="E87" s="627">
        <f>Pamp_3rd!E33</f>
        <v>0</v>
      </c>
      <c r="F87" s="275"/>
      <c r="G87" s="275"/>
      <c r="H87" s="635">
        <f>Pamp_3rd!H33</f>
        <v>0</v>
      </c>
      <c r="I87" s="344">
        <f>Pamp_3rd!I33</f>
        <v>0</v>
      </c>
      <c r="J87" s="275"/>
      <c r="K87" s="344"/>
      <c r="L87" s="620"/>
      <c r="M87" s="344"/>
    </row>
    <row r="88" spans="1:13" x14ac:dyDescent="0.25">
      <c r="A88" s="83" t="s">
        <v>160</v>
      </c>
      <c r="B88" s="581"/>
      <c r="C88" s="17"/>
      <c r="D88" s="20">
        <f>Pamp_3rd!D34</f>
        <v>2</v>
      </c>
      <c r="E88" s="627">
        <f>Pamp_3rd!E34</f>
        <v>6000</v>
      </c>
      <c r="F88" s="275"/>
      <c r="G88" s="275"/>
      <c r="H88" s="275"/>
      <c r="I88" s="344"/>
      <c r="J88" s="275"/>
      <c r="K88" s="344"/>
      <c r="L88" s="620"/>
      <c r="M88" s="344"/>
    </row>
    <row r="89" spans="1:13" ht="30" x14ac:dyDescent="0.25">
      <c r="A89" s="83" t="s">
        <v>161</v>
      </c>
      <c r="B89" s="581"/>
      <c r="C89" s="17"/>
      <c r="D89" s="20">
        <f>Pamp_3rd!D35</f>
        <v>19</v>
      </c>
      <c r="E89" s="627">
        <f>Pamp_3rd!E35</f>
        <v>80500</v>
      </c>
      <c r="F89" s="275"/>
      <c r="G89" s="275"/>
      <c r="H89" s="275"/>
      <c r="I89" s="344"/>
      <c r="J89" s="275"/>
      <c r="K89" s="344"/>
      <c r="L89" s="620"/>
      <c r="M89" s="344"/>
    </row>
    <row r="90" spans="1:13" x14ac:dyDescent="0.25">
      <c r="A90" s="83" t="s">
        <v>162</v>
      </c>
      <c r="B90" s="581"/>
      <c r="C90" s="17"/>
      <c r="D90" s="20">
        <f>Pamp_3rd!D36</f>
        <v>5</v>
      </c>
      <c r="E90" s="627">
        <f>Pamp_3rd!E36</f>
        <v>22000</v>
      </c>
      <c r="F90" s="275"/>
      <c r="G90" s="275"/>
      <c r="H90" s="275"/>
      <c r="I90" s="344"/>
      <c r="J90" s="275"/>
      <c r="K90" s="344"/>
      <c r="L90" s="620"/>
      <c r="M90" s="344"/>
    </row>
    <row r="91" spans="1:13" x14ac:dyDescent="0.25">
      <c r="A91" s="83" t="s">
        <v>163</v>
      </c>
      <c r="B91" s="581"/>
      <c r="C91" s="17"/>
      <c r="D91" s="20">
        <f>Pamp_3rd!D37</f>
        <v>0</v>
      </c>
      <c r="E91" s="627">
        <f>Pamp_3rd!E37</f>
        <v>0</v>
      </c>
      <c r="F91" s="275"/>
      <c r="G91" s="275"/>
      <c r="H91" s="275"/>
      <c r="I91" s="344"/>
      <c r="J91" s="275"/>
      <c r="K91" s="344"/>
      <c r="L91" s="620"/>
      <c r="M91" s="344"/>
    </row>
    <row r="92" spans="1:13" x14ac:dyDescent="0.25">
      <c r="A92" s="349" t="s">
        <v>399</v>
      </c>
      <c r="B92" s="477">
        <f>SUM(B93:B100)</f>
        <v>0</v>
      </c>
      <c r="C92" s="351">
        <f>SUM(C93:C100)</f>
        <v>0</v>
      </c>
      <c r="D92" s="477">
        <f t="shared" ref="D92:M92" si="24">SUM(D93:D100)</f>
        <v>13</v>
      </c>
      <c r="E92" s="351">
        <f t="shared" si="24"/>
        <v>46299</v>
      </c>
      <c r="F92" s="477">
        <f t="shared" si="24"/>
        <v>0</v>
      </c>
      <c r="G92" s="351">
        <f t="shared" si="24"/>
        <v>0</v>
      </c>
      <c r="H92" s="477">
        <f t="shared" si="24"/>
        <v>0</v>
      </c>
      <c r="I92" s="351">
        <f t="shared" si="24"/>
        <v>0</v>
      </c>
      <c r="J92" s="477">
        <f t="shared" si="24"/>
        <v>0</v>
      </c>
      <c r="K92" s="351">
        <f t="shared" si="24"/>
        <v>0</v>
      </c>
      <c r="L92" s="632">
        <f t="shared" si="24"/>
        <v>0</v>
      </c>
      <c r="M92" s="351">
        <f t="shared" si="24"/>
        <v>0</v>
      </c>
    </row>
    <row r="93" spans="1:13" x14ac:dyDescent="0.25">
      <c r="A93" s="83" t="s">
        <v>164</v>
      </c>
      <c r="B93" s="581"/>
      <c r="C93" s="17"/>
      <c r="D93" s="20">
        <f>Pamp_4th!D46</f>
        <v>3</v>
      </c>
      <c r="E93" s="627">
        <f>Pamp_4th!E46</f>
        <v>11000</v>
      </c>
      <c r="F93" s="275"/>
      <c r="G93" s="275"/>
      <c r="H93" s="623">
        <f>Pamp_4th!H46</f>
        <v>0</v>
      </c>
      <c r="I93" s="344">
        <f>Pamp_4th!I46</f>
        <v>0</v>
      </c>
      <c r="J93" s="275"/>
      <c r="K93" s="344"/>
      <c r="L93" s="620">
        <f>Pamp_4th!D59</f>
        <v>0</v>
      </c>
      <c r="M93" s="476">
        <f>Pamp_4th!E59</f>
        <v>0</v>
      </c>
    </row>
    <row r="94" spans="1:13" x14ac:dyDescent="0.25">
      <c r="A94" s="83" t="s">
        <v>165</v>
      </c>
      <c r="B94" s="581"/>
      <c r="C94" s="17"/>
      <c r="D94" s="20">
        <f>Pamp_4th!D47</f>
        <v>2</v>
      </c>
      <c r="E94" s="627">
        <f>Pamp_4th!E47</f>
        <v>8000</v>
      </c>
      <c r="F94" s="275"/>
      <c r="G94" s="275"/>
      <c r="H94" s="623">
        <f>Pamp_4th!H47</f>
        <v>0</v>
      </c>
      <c r="I94" s="344">
        <f>Pamp_4th!I47</f>
        <v>0</v>
      </c>
      <c r="J94" s="275"/>
      <c r="K94" s="344"/>
      <c r="L94" s="620">
        <f>Pamp_4th!D60</f>
        <v>0</v>
      </c>
      <c r="M94" s="476">
        <f>Pamp_4th!E60</f>
        <v>0</v>
      </c>
    </row>
    <row r="95" spans="1:13" x14ac:dyDescent="0.25">
      <c r="A95" s="83" t="s">
        <v>166</v>
      </c>
      <c r="B95" s="581"/>
      <c r="C95" s="17"/>
      <c r="D95" s="20">
        <f>Pamp_4th!D48</f>
        <v>2</v>
      </c>
      <c r="E95" s="627">
        <f>Pamp_4th!E48</f>
        <v>6500</v>
      </c>
      <c r="F95" s="275"/>
      <c r="G95" s="275"/>
      <c r="H95" s="623">
        <f>Pamp_4th!H48</f>
        <v>0</v>
      </c>
      <c r="I95" s="344">
        <f>Pamp_4th!I48</f>
        <v>0</v>
      </c>
      <c r="J95" s="275"/>
      <c r="K95" s="344"/>
      <c r="L95" s="620">
        <f>Pamp_4th!D61</f>
        <v>0</v>
      </c>
      <c r="M95" s="476">
        <f>Pamp_4th!E61</f>
        <v>0</v>
      </c>
    </row>
    <row r="96" spans="1:13" x14ac:dyDescent="0.25">
      <c r="A96" s="83" t="s">
        <v>167</v>
      </c>
      <c r="B96" s="581"/>
      <c r="C96" s="17"/>
      <c r="D96" s="20">
        <f>Pamp_4th!D49</f>
        <v>0</v>
      </c>
      <c r="E96" s="627">
        <f>Pamp_4th!E49</f>
        <v>0</v>
      </c>
      <c r="F96" s="275"/>
      <c r="G96" s="275"/>
      <c r="H96" s="623">
        <f>Pamp_4th!H49</f>
        <v>0</v>
      </c>
      <c r="I96" s="344">
        <f>Pamp_4th!I49</f>
        <v>0</v>
      </c>
      <c r="J96" s="275"/>
      <c r="K96" s="344"/>
      <c r="L96" s="620">
        <f>Pamp_4th!D62</f>
        <v>0</v>
      </c>
      <c r="M96" s="476">
        <f>Pamp_4th!E62</f>
        <v>0</v>
      </c>
    </row>
    <row r="97" spans="1:13" x14ac:dyDescent="0.25">
      <c r="A97" s="83" t="s">
        <v>168</v>
      </c>
      <c r="B97" s="581"/>
      <c r="C97" s="17"/>
      <c r="D97" s="20">
        <f>Pamp_4th!D50</f>
        <v>0</v>
      </c>
      <c r="E97" s="627">
        <f>Pamp_4th!E50</f>
        <v>0</v>
      </c>
      <c r="F97" s="275"/>
      <c r="G97" s="275"/>
      <c r="H97" s="623">
        <f>Pamp_4th!H50</f>
        <v>0</v>
      </c>
      <c r="I97" s="344">
        <f>Pamp_4th!I50</f>
        <v>0</v>
      </c>
      <c r="J97" s="275"/>
      <c r="K97" s="344"/>
      <c r="L97" s="620">
        <f>Pamp_4th!D63</f>
        <v>0</v>
      </c>
      <c r="M97" s="476">
        <f>Pamp_4th!E63</f>
        <v>0</v>
      </c>
    </row>
    <row r="98" spans="1:13" x14ac:dyDescent="0.25">
      <c r="A98" s="83" t="s">
        <v>169</v>
      </c>
      <c r="B98" s="581"/>
      <c r="C98" s="17"/>
      <c r="D98" s="20">
        <f>Pamp_4th!D51</f>
        <v>1</v>
      </c>
      <c r="E98" s="627">
        <f>Pamp_4th!E51</f>
        <v>5000</v>
      </c>
      <c r="F98" s="275"/>
      <c r="G98" s="275"/>
      <c r="H98" s="623">
        <f>Pamp_4th!H51</f>
        <v>0</v>
      </c>
      <c r="I98" s="344">
        <f>Pamp_4th!I51</f>
        <v>0</v>
      </c>
      <c r="J98" s="275"/>
      <c r="K98" s="344"/>
      <c r="L98" s="620">
        <f>Pamp_4th!D64</f>
        <v>0</v>
      </c>
      <c r="M98" s="476">
        <f>Pamp_4th!E64</f>
        <v>0</v>
      </c>
    </row>
    <row r="99" spans="1:13" x14ac:dyDescent="0.25">
      <c r="A99" s="83" t="s">
        <v>170</v>
      </c>
      <c r="B99" s="581"/>
      <c r="C99" s="17"/>
      <c r="D99" s="20">
        <f>Pamp_4th!D52</f>
        <v>1</v>
      </c>
      <c r="E99" s="627">
        <f>Pamp_4th!E52</f>
        <v>5000</v>
      </c>
      <c r="F99" s="275"/>
      <c r="G99" s="275"/>
      <c r="H99" s="623">
        <f>Pamp_4th!H52</f>
        <v>0</v>
      </c>
      <c r="I99" s="344">
        <f>Pamp_4th!I52</f>
        <v>0</v>
      </c>
      <c r="J99" s="275"/>
      <c r="K99" s="344"/>
      <c r="L99" s="620">
        <f>Pamp_4th!D65</f>
        <v>0</v>
      </c>
      <c r="M99" s="476">
        <f>Pamp_4th!E65</f>
        <v>0</v>
      </c>
    </row>
    <row r="100" spans="1:13" x14ac:dyDescent="0.25">
      <c r="A100" s="83" t="s">
        <v>171</v>
      </c>
      <c r="B100" s="581"/>
      <c r="C100" s="17"/>
      <c r="D100" s="20">
        <f>Pamp_4th!D53</f>
        <v>4</v>
      </c>
      <c r="E100" s="627">
        <f>Pamp_4th!E53</f>
        <v>10799</v>
      </c>
      <c r="F100" s="275"/>
      <c r="G100" s="275"/>
      <c r="H100" s="623">
        <f>Pamp_4th!H53</f>
        <v>0</v>
      </c>
      <c r="I100" s="344">
        <f>Pamp_4th!I53</f>
        <v>0</v>
      </c>
      <c r="J100" s="275"/>
      <c r="K100" s="344"/>
      <c r="L100" s="620">
        <f>Pamp_4th!D66</f>
        <v>0</v>
      </c>
      <c r="M100" s="476">
        <f>Pamp_4th!E66</f>
        <v>0</v>
      </c>
    </row>
    <row r="103" spans="1:13" ht="39.75" customHeight="1" x14ac:dyDescent="0.25">
      <c r="A103" s="906" t="s">
        <v>3</v>
      </c>
      <c r="B103" s="913" t="s">
        <v>389</v>
      </c>
      <c r="C103" s="914"/>
      <c r="D103" s="914"/>
      <c r="E103" s="915"/>
      <c r="F103" s="913" t="s">
        <v>419</v>
      </c>
      <c r="G103" s="914"/>
      <c r="H103" s="914"/>
      <c r="I103" s="915"/>
      <c r="J103" s="995" t="s">
        <v>81</v>
      </c>
      <c r="K103" s="995"/>
      <c r="L103" s="995"/>
      <c r="M103" s="995"/>
    </row>
    <row r="104" spans="1:13" x14ac:dyDescent="0.25">
      <c r="A104" s="906"/>
      <c r="B104" s="899" t="s">
        <v>327</v>
      </c>
      <c r="C104" s="899"/>
      <c r="D104" s="900" t="s">
        <v>333</v>
      </c>
      <c r="E104" s="901"/>
      <c r="F104" s="899" t="s">
        <v>327</v>
      </c>
      <c r="G104" s="899"/>
      <c r="H104" s="900" t="s">
        <v>333</v>
      </c>
      <c r="I104" s="901"/>
      <c r="J104" s="899" t="s">
        <v>60</v>
      </c>
      <c r="K104" s="899"/>
      <c r="L104" s="899" t="s">
        <v>305</v>
      </c>
      <c r="M104" s="899"/>
    </row>
    <row r="105" spans="1:13" ht="45" x14ac:dyDescent="0.25">
      <c r="A105" s="906"/>
      <c r="B105" s="581" t="s">
        <v>310</v>
      </c>
      <c r="C105" s="476" t="s">
        <v>60</v>
      </c>
      <c r="D105" s="581" t="s">
        <v>310</v>
      </c>
      <c r="E105" s="17" t="s">
        <v>305</v>
      </c>
      <c r="F105" s="634" t="s">
        <v>308</v>
      </c>
      <c r="G105" s="476" t="s">
        <v>60</v>
      </c>
      <c r="H105" s="634" t="s">
        <v>332</v>
      </c>
      <c r="I105" s="17" t="s">
        <v>305</v>
      </c>
      <c r="J105" s="899"/>
      <c r="K105" s="899"/>
      <c r="L105" s="899"/>
      <c r="M105" s="899"/>
    </row>
    <row r="106" spans="1:13" x14ac:dyDescent="0.25">
      <c r="A106" s="610" t="s">
        <v>14</v>
      </c>
      <c r="B106" s="611">
        <f>B107+B111+B118+B124</f>
        <v>0</v>
      </c>
      <c r="C106" s="612">
        <f>C107+C111+C118+C124</f>
        <v>0</v>
      </c>
      <c r="D106" s="611">
        <f t="shared" ref="D106" si="25">D107+D111+D118+D124</f>
        <v>0</v>
      </c>
      <c r="E106" s="612">
        <f t="shared" ref="E106" si="26">E107+E111+E118+E124</f>
        <v>0</v>
      </c>
      <c r="F106" s="611">
        <f>F107+F111+F118+F124</f>
        <v>0</v>
      </c>
      <c r="G106" s="612">
        <f>G107+G111+G118+G124</f>
        <v>0</v>
      </c>
      <c r="H106" s="611">
        <f t="shared" ref="H106:I106" si="27">H107+H111+H118+H124</f>
        <v>0</v>
      </c>
      <c r="I106" s="612">
        <f t="shared" si="27"/>
        <v>0</v>
      </c>
      <c r="J106" s="1039">
        <f>J107+J111+J118+J124</f>
        <v>958248921.74000001</v>
      </c>
      <c r="K106" s="1040"/>
      <c r="L106" s="1039">
        <f>L107+L111+L118+L124</f>
        <v>729913179</v>
      </c>
      <c r="M106" s="1040"/>
    </row>
    <row r="107" spans="1:13" x14ac:dyDescent="0.25">
      <c r="A107" s="349" t="s">
        <v>278</v>
      </c>
      <c r="B107" s="613"/>
      <c r="C107" s="606"/>
      <c r="D107" s="606"/>
      <c r="E107" s="606"/>
      <c r="F107" s="613"/>
      <c r="G107" s="606"/>
      <c r="H107" s="606"/>
      <c r="I107" s="606"/>
      <c r="J107" s="1041">
        <f>SUM(J108:K110)</f>
        <v>132772000</v>
      </c>
      <c r="K107" s="1042"/>
      <c r="L107" s="1041">
        <f>SUM(L108:M110)</f>
        <v>95493359</v>
      </c>
      <c r="M107" s="1042"/>
    </row>
    <row r="108" spans="1:13" x14ac:dyDescent="0.25">
      <c r="A108" s="83" t="s">
        <v>150</v>
      </c>
      <c r="B108" s="587"/>
      <c r="C108" s="344"/>
      <c r="D108" s="344"/>
      <c r="E108" s="344"/>
      <c r="F108" s="275"/>
      <c r="G108" s="275"/>
      <c r="H108" s="275"/>
      <c r="I108" s="344"/>
      <c r="J108" s="977">
        <f>C14+G14+K14+C45+G45+K45+C76+G76+K76+C108+G108</f>
        <v>61192000</v>
      </c>
      <c r="K108" s="899"/>
      <c r="L108" s="977">
        <f>E14+I14+M14+E45+I45+M45+E76+I76+M76+E108+I108</f>
        <v>39463565</v>
      </c>
      <c r="M108" s="899"/>
    </row>
    <row r="109" spans="1:13" x14ac:dyDescent="0.25">
      <c r="A109" s="83" t="s">
        <v>151</v>
      </c>
      <c r="B109" s="587"/>
      <c r="C109" s="344"/>
      <c r="D109" s="344"/>
      <c r="E109" s="344"/>
      <c r="F109" s="275"/>
      <c r="G109" s="275"/>
      <c r="H109" s="275"/>
      <c r="I109" s="344"/>
      <c r="J109" s="977">
        <f t="shared" ref="J109:J110" si="28">C15+G15+K15+C46+G46+K46+C77+G77+K77+C109+G109</f>
        <v>35719000</v>
      </c>
      <c r="K109" s="899"/>
      <c r="L109" s="977">
        <f t="shared" ref="L109:L110" si="29">E15+I15+M15+E46+I46+M46+E77+I77+M77+E109+I109</f>
        <v>30766224</v>
      </c>
      <c r="M109" s="899"/>
    </row>
    <row r="110" spans="1:13" x14ac:dyDescent="0.25">
      <c r="A110" s="83" t="s">
        <v>152</v>
      </c>
      <c r="B110" s="587"/>
      <c r="C110" s="344"/>
      <c r="D110" s="344"/>
      <c r="E110" s="344"/>
      <c r="F110" s="275"/>
      <c r="G110" s="275"/>
      <c r="H110" s="275"/>
      <c r="I110" s="344"/>
      <c r="J110" s="977">
        <f t="shared" si="28"/>
        <v>35861000</v>
      </c>
      <c r="K110" s="899"/>
      <c r="L110" s="977">
        <f t="shared" si="29"/>
        <v>25263570</v>
      </c>
      <c r="M110" s="899"/>
    </row>
    <row r="111" spans="1:13" x14ac:dyDescent="0.25">
      <c r="A111" s="349" t="s">
        <v>397</v>
      </c>
      <c r="B111" s="477">
        <f t="shared" ref="B111:I111" si="30">SUM(B112:B117)</f>
        <v>0</v>
      </c>
      <c r="C111" s="351">
        <f t="shared" si="30"/>
        <v>0</v>
      </c>
      <c r="D111" s="350">
        <f t="shared" si="30"/>
        <v>0</v>
      </c>
      <c r="E111" s="351">
        <f t="shared" si="30"/>
        <v>0</v>
      </c>
      <c r="F111" s="477">
        <f t="shared" si="30"/>
        <v>0</v>
      </c>
      <c r="G111" s="351">
        <f t="shared" si="30"/>
        <v>0</v>
      </c>
      <c r="H111" s="350">
        <f t="shared" si="30"/>
        <v>0</v>
      </c>
      <c r="I111" s="351">
        <f t="shared" si="30"/>
        <v>0</v>
      </c>
      <c r="J111" s="1041">
        <f>SUM(J112:K117)</f>
        <v>250730400</v>
      </c>
      <c r="K111" s="1042"/>
      <c r="L111" s="1041">
        <f>SUM(L112:M117)</f>
        <v>238859522</v>
      </c>
      <c r="M111" s="1042"/>
    </row>
    <row r="112" spans="1:13" x14ac:dyDescent="0.25">
      <c r="A112" s="83" t="s">
        <v>153</v>
      </c>
      <c r="B112" s="478"/>
      <c r="C112" s="386"/>
      <c r="D112" s="345"/>
      <c r="E112" s="344"/>
      <c r="F112" s="275"/>
      <c r="G112" s="275"/>
      <c r="H112" s="275"/>
      <c r="I112" s="344"/>
      <c r="J112" s="977">
        <f t="shared" ref="J112:J117" si="31">C18+G18+K18+C49+G49+K49+C80+G80+K80+C112+G112</f>
        <v>37436000</v>
      </c>
      <c r="K112" s="899"/>
      <c r="L112" s="977">
        <f t="shared" ref="L112:L117" si="32">E18+I18+M18+E49+I49+M49+E80+I80+M80+E112+I112</f>
        <v>31573310</v>
      </c>
      <c r="M112" s="899"/>
    </row>
    <row r="113" spans="1:13" x14ac:dyDescent="0.25">
      <c r="A113" s="83" t="s">
        <v>154</v>
      </c>
      <c r="B113" s="478"/>
      <c r="C113" s="386"/>
      <c r="D113" s="345"/>
      <c r="E113" s="344"/>
      <c r="F113" s="275"/>
      <c r="G113" s="275"/>
      <c r="H113" s="275"/>
      <c r="I113" s="344"/>
      <c r="J113" s="977">
        <f t="shared" si="31"/>
        <v>40704000</v>
      </c>
      <c r="K113" s="899"/>
      <c r="L113" s="977">
        <f t="shared" si="32"/>
        <v>33023720</v>
      </c>
      <c r="M113" s="899"/>
    </row>
    <row r="114" spans="1:13" x14ac:dyDescent="0.25">
      <c r="A114" s="83" t="s">
        <v>155</v>
      </c>
      <c r="B114" s="478"/>
      <c r="C114" s="386"/>
      <c r="D114" s="345"/>
      <c r="E114" s="344"/>
      <c r="F114" s="275"/>
      <c r="G114" s="275"/>
      <c r="H114" s="275"/>
      <c r="I114" s="344"/>
      <c r="J114" s="977">
        <f t="shared" si="31"/>
        <v>64434000</v>
      </c>
      <c r="K114" s="899"/>
      <c r="L114" s="977">
        <f t="shared" si="32"/>
        <v>47656725</v>
      </c>
      <c r="M114" s="899"/>
    </row>
    <row r="115" spans="1:13" x14ac:dyDescent="0.25">
      <c r="A115" s="83" t="s">
        <v>156</v>
      </c>
      <c r="B115" s="478"/>
      <c r="C115" s="386"/>
      <c r="D115" s="345"/>
      <c r="E115" s="344"/>
      <c r="F115" s="275"/>
      <c r="G115" s="275"/>
      <c r="H115" s="275"/>
      <c r="I115" s="344"/>
      <c r="J115" s="977">
        <f t="shared" si="31"/>
        <v>63164000</v>
      </c>
      <c r="K115" s="899"/>
      <c r="L115" s="977">
        <f t="shared" si="32"/>
        <v>95581612</v>
      </c>
      <c r="M115" s="899"/>
    </row>
    <row r="116" spans="1:13" x14ac:dyDescent="0.25">
      <c r="A116" s="83" t="s">
        <v>157</v>
      </c>
      <c r="B116" s="478"/>
      <c r="C116" s="386"/>
      <c r="D116" s="345"/>
      <c r="E116" s="344"/>
      <c r="F116" s="275"/>
      <c r="G116" s="275"/>
      <c r="H116" s="275"/>
      <c r="I116" s="344"/>
      <c r="J116" s="977">
        <f t="shared" si="31"/>
        <v>22735400</v>
      </c>
      <c r="K116" s="899"/>
      <c r="L116" s="977">
        <f t="shared" si="32"/>
        <v>16396400</v>
      </c>
      <c r="M116" s="899"/>
    </row>
    <row r="117" spans="1:13" x14ac:dyDescent="0.25">
      <c r="A117" s="83" t="s">
        <v>158</v>
      </c>
      <c r="B117" s="478"/>
      <c r="C117" s="386"/>
      <c r="D117" s="345">
        <f>Pamp_2nd!H40</f>
        <v>0</v>
      </c>
      <c r="E117" s="344">
        <f>Pamp_2nd!I40</f>
        <v>0</v>
      </c>
      <c r="F117" s="275"/>
      <c r="G117" s="275"/>
      <c r="H117" s="275"/>
      <c r="I117" s="344"/>
      <c r="J117" s="977">
        <f t="shared" si="31"/>
        <v>22257000</v>
      </c>
      <c r="K117" s="899"/>
      <c r="L117" s="977">
        <f t="shared" si="32"/>
        <v>14627755</v>
      </c>
      <c r="M117" s="899"/>
    </row>
    <row r="118" spans="1:13" x14ac:dyDescent="0.25">
      <c r="A118" s="349" t="s">
        <v>406</v>
      </c>
      <c r="B118" s="477">
        <f t="shared" ref="B118:G118" si="33">SUM(B119:B124)</f>
        <v>0</v>
      </c>
      <c r="C118" s="351">
        <f t="shared" si="33"/>
        <v>0</v>
      </c>
      <c r="D118" s="477">
        <f>SUM(D119:D123)</f>
        <v>0</v>
      </c>
      <c r="E118" s="636">
        <f>SUM(E119:E123)</f>
        <v>0</v>
      </c>
      <c r="F118" s="477">
        <f t="shared" si="33"/>
        <v>0</v>
      </c>
      <c r="G118" s="351">
        <f t="shared" si="33"/>
        <v>0</v>
      </c>
      <c r="H118" s="477">
        <f>SUM(H119:H123)</f>
        <v>0</v>
      </c>
      <c r="I118" s="636">
        <f>SUM(I119:I123)</f>
        <v>0</v>
      </c>
      <c r="J118" s="1041">
        <f>SUM(J119:K123)</f>
        <v>231004000</v>
      </c>
      <c r="K118" s="1042"/>
      <c r="L118" s="1041">
        <f>SUM(L119:M123)</f>
        <v>148848880</v>
      </c>
      <c r="M118" s="1042"/>
    </row>
    <row r="119" spans="1:13" x14ac:dyDescent="0.25">
      <c r="A119" s="83" t="s">
        <v>159</v>
      </c>
      <c r="B119" s="581"/>
      <c r="C119" s="17"/>
      <c r="D119" s="20">
        <f>Pamp_3rd!L33</f>
        <v>0</v>
      </c>
      <c r="E119" s="627">
        <f>Pamp_3rd!M33</f>
        <v>0</v>
      </c>
      <c r="F119" s="275"/>
      <c r="G119" s="275"/>
      <c r="H119" s="635">
        <f>Pamp_3rd!D44</f>
        <v>0</v>
      </c>
      <c r="I119" s="344">
        <f>Pamp_3rd!E44</f>
        <v>0</v>
      </c>
      <c r="J119" s="977">
        <f t="shared" ref="J119:J123" si="34">C25+G25+K25+C56+G56+K56+C87+G87+K87+C119+G119</f>
        <v>69354000</v>
      </c>
      <c r="K119" s="899"/>
      <c r="L119" s="977">
        <f t="shared" ref="L119:L123" si="35">E25+I25+M25+E56+I56+M56+E87+I87+M87+E119+I119</f>
        <v>44765855</v>
      </c>
      <c r="M119" s="899"/>
    </row>
    <row r="120" spans="1:13" x14ac:dyDescent="0.25">
      <c r="A120" s="83" t="s">
        <v>160</v>
      </c>
      <c r="B120" s="581"/>
      <c r="C120" s="17"/>
      <c r="D120" s="20">
        <f>Pamp_3rd!L34</f>
        <v>0</v>
      </c>
      <c r="E120" s="627">
        <f>Pamp_3rd!M34</f>
        <v>0</v>
      </c>
      <c r="F120" s="275"/>
      <c r="G120" s="275"/>
      <c r="H120" s="635">
        <f>Pamp_3rd!D45</f>
        <v>0</v>
      </c>
      <c r="I120" s="344">
        <f>Pamp_3rd!E45</f>
        <v>0</v>
      </c>
      <c r="J120" s="977">
        <f t="shared" si="34"/>
        <v>20943000</v>
      </c>
      <c r="K120" s="899"/>
      <c r="L120" s="977">
        <f t="shared" si="35"/>
        <v>11051900</v>
      </c>
      <c r="M120" s="899"/>
    </row>
    <row r="121" spans="1:13" ht="30" x14ac:dyDescent="0.25">
      <c r="A121" s="83" t="s">
        <v>161</v>
      </c>
      <c r="B121" s="581"/>
      <c r="C121" s="17"/>
      <c r="D121" s="20">
        <f>Pamp_3rd!L35</f>
        <v>0</v>
      </c>
      <c r="E121" s="627">
        <f>Pamp_3rd!M35</f>
        <v>0</v>
      </c>
      <c r="F121" s="275"/>
      <c r="G121" s="275"/>
      <c r="H121" s="635">
        <f>Pamp_3rd!D46</f>
        <v>0</v>
      </c>
      <c r="I121" s="344">
        <f>Pamp_3rd!E46</f>
        <v>0</v>
      </c>
      <c r="J121" s="977">
        <f t="shared" si="34"/>
        <v>56515000</v>
      </c>
      <c r="K121" s="899"/>
      <c r="L121" s="977">
        <f t="shared" si="35"/>
        <v>35804125</v>
      </c>
      <c r="M121" s="899"/>
    </row>
    <row r="122" spans="1:13" x14ac:dyDescent="0.25">
      <c r="A122" s="83" t="s">
        <v>162</v>
      </c>
      <c r="B122" s="581"/>
      <c r="C122" s="17"/>
      <c r="D122" s="20">
        <f>Pamp_3rd!L36</f>
        <v>0</v>
      </c>
      <c r="E122" s="627">
        <f>Pamp_3rd!M36</f>
        <v>0</v>
      </c>
      <c r="F122" s="275"/>
      <c r="G122" s="275"/>
      <c r="H122" s="635">
        <f>Pamp_3rd!D47</f>
        <v>0</v>
      </c>
      <c r="I122" s="344">
        <f>Pamp_3rd!E47</f>
        <v>0</v>
      </c>
      <c r="J122" s="977">
        <f t="shared" si="34"/>
        <v>55588000</v>
      </c>
      <c r="K122" s="899"/>
      <c r="L122" s="977">
        <f t="shared" si="35"/>
        <v>38405400</v>
      </c>
      <c r="M122" s="899"/>
    </row>
    <row r="123" spans="1:13" x14ac:dyDescent="0.25">
      <c r="A123" s="83" t="s">
        <v>163</v>
      </c>
      <c r="B123" s="581"/>
      <c r="C123" s="17"/>
      <c r="D123" s="20">
        <f>Pamp_3rd!L37</f>
        <v>0</v>
      </c>
      <c r="E123" s="627">
        <f>Pamp_3rd!M37</f>
        <v>0</v>
      </c>
      <c r="F123" s="275"/>
      <c r="G123" s="275"/>
      <c r="H123" s="635">
        <f>Pamp_3rd!D48</f>
        <v>0</v>
      </c>
      <c r="I123" s="344">
        <f>Pamp_3rd!E48</f>
        <v>0</v>
      </c>
      <c r="J123" s="977">
        <f t="shared" si="34"/>
        <v>28604000</v>
      </c>
      <c r="K123" s="899"/>
      <c r="L123" s="977">
        <f t="shared" si="35"/>
        <v>18821600</v>
      </c>
      <c r="M123" s="899"/>
    </row>
    <row r="124" spans="1:13" x14ac:dyDescent="0.25">
      <c r="A124" s="349" t="s">
        <v>399</v>
      </c>
      <c r="B124" s="477">
        <f t="shared" ref="B124:I124" si="36">SUM(B125:B132)</f>
        <v>0</v>
      </c>
      <c r="C124" s="351">
        <f t="shared" si="36"/>
        <v>0</v>
      </c>
      <c r="D124" s="350">
        <f t="shared" si="36"/>
        <v>0</v>
      </c>
      <c r="E124" s="351">
        <f t="shared" si="36"/>
        <v>0</v>
      </c>
      <c r="F124" s="477">
        <f t="shared" si="36"/>
        <v>0</v>
      </c>
      <c r="G124" s="351">
        <f t="shared" si="36"/>
        <v>0</v>
      </c>
      <c r="H124" s="350">
        <f t="shared" si="36"/>
        <v>0</v>
      </c>
      <c r="I124" s="351">
        <f t="shared" si="36"/>
        <v>0</v>
      </c>
      <c r="J124" s="1041">
        <f>SUM(J125:K132)</f>
        <v>343742521.74000001</v>
      </c>
      <c r="K124" s="1042"/>
      <c r="L124" s="1041">
        <f>SUM(L125:M132)</f>
        <v>246711418</v>
      </c>
      <c r="M124" s="1042"/>
    </row>
    <row r="125" spans="1:13" x14ac:dyDescent="0.25">
      <c r="A125" s="83" t="s">
        <v>164</v>
      </c>
      <c r="B125" s="478"/>
      <c r="C125" s="386"/>
      <c r="D125" s="345">
        <f>Pamp_4th!L46</f>
        <v>0</v>
      </c>
      <c r="E125" s="345">
        <f>Pamp_4th!M46</f>
        <v>0</v>
      </c>
      <c r="F125" s="275"/>
      <c r="G125" s="275"/>
      <c r="H125" s="275"/>
      <c r="I125" s="344"/>
      <c r="J125" s="977">
        <f t="shared" ref="J125:J132" si="37">C31+G31+K31+C62+G62+K62+C93+G93+K93+C125+G125</f>
        <v>55428000</v>
      </c>
      <c r="K125" s="899"/>
      <c r="L125" s="977">
        <f t="shared" ref="L125:L132" si="38">E31+I31+M31+E62+I62+M62+E93+I93+M93+E125+I125</f>
        <v>38013831</v>
      </c>
      <c r="M125" s="899"/>
    </row>
    <row r="126" spans="1:13" x14ac:dyDescent="0.25">
      <c r="A126" s="83" t="s">
        <v>165</v>
      </c>
      <c r="B126" s="478"/>
      <c r="C126" s="386"/>
      <c r="D126" s="345">
        <f>Pamp_4th!L47</f>
        <v>0</v>
      </c>
      <c r="E126" s="345">
        <f>Pamp_4th!M47</f>
        <v>0</v>
      </c>
      <c r="F126" s="275"/>
      <c r="G126" s="275"/>
      <c r="H126" s="275"/>
      <c r="I126" s="344"/>
      <c r="J126" s="977">
        <f t="shared" si="37"/>
        <v>90148000</v>
      </c>
      <c r="K126" s="899"/>
      <c r="L126" s="977">
        <f t="shared" si="38"/>
        <v>62817440</v>
      </c>
      <c r="M126" s="899"/>
    </row>
    <row r="127" spans="1:13" x14ac:dyDescent="0.25">
      <c r="A127" s="83" t="s">
        <v>166</v>
      </c>
      <c r="B127" s="478"/>
      <c r="C127" s="386"/>
      <c r="D127" s="345">
        <f>Pamp_4th!L48</f>
        <v>0</v>
      </c>
      <c r="E127" s="345">
        <f>Pamp_4th!M48</f>
        <v>0</v>
      </c>
      <c r="F127" s="275"/>
      <c r="G127" s="275"/>
      <c r="H127" s="275"/>
      <c r="I127" s="344"/>
      <c r="J127" s="977">
        <f t="shared" si="37"/>
        <v>49778000</v>
      </c>
      <c r="K127" s="899"/>
      <c r="L127" s="977">
        <f t="shared" si="38"/>
        <v>35254100</v>
      </c>
      <c r="M127" s="899"/>
    </row>
    <row r="128" spans="1:13" x14ac:dyDescent="0.25">
      <c r="A128" s="83" t="s">
        <v>167</v>
      </c>
      <c r="B128" s="478"/>
      <c r="C128" s="386"/>
      <c r="D128" s="345">
        <f>Pamp_4th!L49</f>
        <v>0</v>
      </c>
      <c r="E128" s="345">
        <f>Pamp_4th!M49</f>
        <v>0</v>
      </c>
      <c r="F128" s="275"/>
      <c r="G128" s="275"/>
      <c r="H128" s="275"/>
      <c r="I128" s="344"/>
      <c r="J128" s="977">
        <f t="shared" si="37"/>
        <v>42086521.740000002</v>
      </c>
      <c r="K128" s="899"/>
      <c r="L128" s="977">
        <f t="shared" si="38"/>
        <v>28419243</v>
      </c>
      <c r="M128" s="899"/>
    </row>
    <row r="129" spans="1:13" x14ac:dyDescent="0.25">
      <c r="A129" s="83" t="s">
        <v>168</v>
      </c>
      <c r="B129" s="478"/>
      <c r="C129" s="386"/>
      <c r="D129" s="345">
        <f>Pamp_4th!L50</f>
        <v>0</v>
      </c>
      <c r="E129" s="345">
        <f>Pamp_4th!M50</f>
        <v>0</v>
      </c>
      <c r="F129" s="275"/>
      <c r="G129" s="275"/>
      <c r="H129" s="275"/>
      <c r="I129" s="344"/>
      <c r="J129" s="977">
        <f t="shared" si="37"/>
        <v>25644000</v>
      </c>
      <c r="K129" s="899"/>
      <c r="L129" s="977">
        <f t="shared" si="38"/>
        <v>21068549</v>
      </c>
      <c r="M129" s="899"/>
    </row>
    <row r="130" spans="1:13" x14ac:dyDescent="0.25">
      <c r="A130" s="83" t="s">
        <v>169</v>
      </c>
      <c r="B130" s="478"/>
      <c r="C130" s="386"/>
      <c r="D130" s="345">
        <f>Pamp_4th!L51</f>
        <v>0</v>
      </c>
      <c r="E130" s="345">
        <f>Pamp_4th!M51</f>
        <v>0</v>
      </c>
      <c r="F130" s="275"/>
      <c r="G130" s="275"/>
      <c r="H130" s="275"/>
      <c r="I130" s="344"/>
      <c r="J130" s="977">
        <f t="shared" si="37"/>
        <v>37408000</v>
      </c>
      <c r="K130" s="899"/>
      <c r="L130" s="977">
        <f t="shared" si="38"/>
        <v>27427780</v>
      </c>
      <c r="M130" s="899"/>
    </row>
    <row r="131" spans="1:13" x14ac:dyDescent="0.25">
      <c r="A131" s="83" t="s">
        <v>170</v>
      </c>
      <c r="B131" s="478"/>
      <c r="C131" s="386"/>
      <c r="D131" s="345">
        <f>Pamp_4th!L52</f>
        <v>0</v>
      </c>
      <c r="E131" s="345">
        <f>Pamp_4th!M52</f>
        <v>0</v>
      </c>
      <c r="F131" s="275"/>
      <c r="G131" s="275"/>
      <c r="H131" s="275"/>
      <c r="I131" s="344"/>
      <c r="J131" s="977">
        <f t="shared" si="37"/>
        <v>27954000</v>
      </c>
      <c r="K131" s="899"/>
      <c r="L131" s="977">
        <f t="shared" si="38"/>
        <v>18795300</v>
      </c>
      <c r="M131" s="899"/>
    </row>
    <row r="132" spans="1:13" x14ac:dyDescent="0.25">
      <c r="A132" s="83" t="s">
        <v>171</v>
      </c>
      <c r="B132" s="478"/>
      <c r="C132" s="386"/>
      <c r="D132" s="345">
        <f>Pamp_4th!L53</f>
        <v>0</v>
      </c>
      <c r="E132" s="345">
        <f>Pamp_4th!M53</f>
        <v>0</v>
      </c>
      <c r="F132" s="275"/>
      <c r="G132" s="275"/>
      <c r="H132" s="275"/>
      <c r="I132" s="344"/>
      <c r="J132" s="977">
        <f t="shared" si="37"/>
        <v>15296000</v>
      </c>
      <c r="K132" s="899"/>
      <c r="L132" s="977">
        <f t="shared" si="38"/>
        <v>14915175</v>
      </c>
      <c r="M132" s="899"/>
    </row>
  </sheetData>
  <mergeCells count="99">
    <mergeCell ref="A103:A105"/>
    <mergeCell ref="J130:K130"/>
    <mergeCell ref="L130:M130"/>
    <mergeCell ref="J131:K131"/>
    <mergeCell ref="L131:M131"/>
    <mergeCell ref="J124:K124"/>
    <mergeCell ref="L124:M124"/>
    <mergeCell ref="J125:K125"/>
    <mergeCell ref="L125:M125"/>
    <mergeCell ref="J126:K126"/>
    <mergeCell ref="L126:M126"/>
    <mergeCell ref="J121:K121"/>
    <mergeCell ref="L121:M121"/>
    <mergeCell ref="J122:K122"/>
    <mergeCell ref="L122:M122"/>
    <mergeCell ref="J123:K123"/>
    <mergeCell ref="J132:K132"/>
    <mergeCell ref="L132:M132"/>
    <mergeCell ref="J127:K127"/>
    <mergeCell ref="L127:M127"/>
    <mergeCell ref="J128:K128"/>
    <mergeCell ref="L128:M128"/>
    <mergeCell ref="J129:K129"/>
    <mergeCell ref="L129:M129"/>
    <mergeCell ref="L123:M123"/>
    <mergeCell ref="J118:K118"/>
    <mergeCell ref="L118:M118"/>
    <mergeCell ref="J119:K119"/>
    <mergeCell ref="L119:M119"/>
    <mergeCell ref="J120:K120"/>
    <mergeCell ref="L120:M120"/>
    <mergeCell ref="J115:K115"/>
    <mergeCell ref="L115:M115"/>
    <mergeCell ref="J116:K116"/>
    <mergeCell ref="L116:M116"/>
    <mergeCell ref="J117:K117"/>
    <mergeCell ref="L117:M117"/>
    <mergeCell ref="J112:K112"/>
    <mergeCell ref="L112:M112"/>
    <mergeCell ref="J113:K113"/>
    <mergeCell ref="L113:M113"/>
    <mergeCell ref="J114:K114"/>
    <mergeCell ref="L114:M114"/>
    <mergeCell ref="J109:K109"/>
    <mergeCell ref="L109:M109"/>
    <mergeCell ref="J110:K110"/>
    <mergeCell ref="L110:M110"/>
    <mergeCell ref="J111:K111"/>
    <mergeCell ref="L111:M111"/>
    <mergeCell ref="J106:K106"/>
    <mergeCell ref="L106:M106"/>
    <mergeCell ref="J107:K107"/>
    <mergeCell ref="L107:M107"/>
    <mergeCell ref="J108:K108"/>
    <mergeCell ref="L108:M108"/>
    <mergeCell ref="B103:E103"/>
    <mergeCell ref="J103:M103"/>
    <mergeCell ref="B104:C104"/>
    <mergeCell ref="D104:E104"/>
    <mergeCell ref="J104:K105"/>
    <mergeCell ref="L104:M105"/>
    <mergeCell ref="F103:I103"/>
    <mergeCell ref="F104:G104"/>
    <mergeCell ref="H104:I104"/>
    <mergeCell ref="A71:A73"/>
    <mergeCell ref="B71:E71"/>
    <mergeCell ref="B72:C72"/>
    <mergeCell ref="D72:E72"/>
    <mergeCell ref="F71:I71"/>
    <mergeCell ref="J71:M71"/>
    <mergeCell ref="F72:G72"/>
    <mergeCell ref="H72:I72"/>
    <mergeCell ref="J72:K72"/>
    <mergeCell ref="L72:M72"/>
    <mergeCell ref="A40:A42"/>
    <mergeCell ref="B40:E40"/>
    <mergeCell ref="F40:I40"/>
    <mergeCell ref="J40:M40"/>
    <mergeCell ref="B41:C41"/>
    <mergeCell ref="D41:E41"/>
    <mergeCell ref="F41:G41"/>
    <mergeCell ref="H41:I41"/>
    <mergeCell ref="J41:K41"/>
    <mergeCell ref="L41:M41"/>
    <mergeCell ref="A1:M1"/>
    <mergeCell ref="A2:M2"/>
    <mergeCell ref="A3:M3"/>
    <mergeCell ref="A5:M5"/>
    <mergeCell ref="A6:M6"/>
    <mergeCell ref="A9:A11"/>
    <mergeCell ref="B9:E9"/>
    <mergeCell ref="F9:I9"/>
    <mergeCell ref="J9:M9"/>
    <mergeCell ref="B10:C10"/>
    <mergeCell ref="D10:E10"/>
    <mergeCell ref="F10:G10"/>
    <mergeCell ref="H10:I10"/>
    <mergeCell ref="J10:K10"/>
    <mergeCell ref="L10:M10"/>
  </mergeCells>
  <pageMargins left="0.48" right="0.15748031496063" top="0.43" bottom="0.74803149606299202" header="1.06" footer="0.31496062992126"/>
  <pageSetup paperSize="9" scale="65" orientation="landscape" r:id="rId1"/>
  <headerFooter>
    <oddFooter>&amp;LPrograms/Projects Implemented
in the Province of Pampanga&amp;CPage &amp;P of &amp;N</oddFooter>
  </headerFooter>
  <rowBreaks count="3" manualBreakCount="3">
    <brk id="39" max="12" man="1"/>
    <brk id="69" max="12" man="1"/>
    <brk id="102" max="1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31"/>
  <sheetViews>
    <sheetView zoomScale="80" zoomScaleNormal="80" workbookViewId="0">
      <selection activeCell="M24" sqref="M24"/>
    </sheetView>
  </sheetViews>
  <sheetFormatPr defaultRowHeight="15" x14ac:dyDescent="0.25"/>
  <cols>
    <col min="1" max="1" width="14.28515625" customWidth="1"/>
    <col min="2" max="2" width="11.42578125" customWidth="1"/>
    <col min="3" max="3" width="16" style="97" customWidth="1"/>
    <col min="4" max="4" width="12" style="97" customWidth="1"/>
    <col min="5" max="5" width="16.5703125" style="97" customWidth="1"/>
    <col min="6" max="6" width="9.5703125" customWidth="1"/>
    <col min="7" max="7" width="14.42578125" customWidth="1"/>
    <col min="8" max="8" width="11" customWidth="1"/>
    <col min="9" max="9" width="16.140625" style="97" customWidth="1"/>
    <col min="10" max="10" width="11.5703125" customWidth="1"/>
    <col min="11" max="11" width="14.5703125" style="97" customWidth="1"/>
    <col min="12" max="12" width="11.42578125" customWidth="1"/>
    <col min="13" max="13" width="17.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354</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96"/>
      <c r="B7" s="496"/>
      <c r="C7" s="496"/>
      <c r="D7" s="496"/>
      <c r="E7" s="496"/>
      <c r="F7" s="496"/>
      <c r="G7" s="496"/>
      <c r="H7" s="496"/>
      <c r="I7" s="496"/>
      <c r="J7" s="496"/>
      <c r="K7" s="496"/>
      <c r="L7" s="496"/>
      <c r="M7" s="496"/>
    </row>
    <row r="8" spans="1:13" s="501" customFormat="1" ht="23.25" x14ac:dyDescent="0.35">
      <c r="A8" s="497" t="s">
        <v>355</v>
      </c>
      <c r="B8" s="500"/>
      <c r="D8" s="502"/>
    </row>
    <row r="9" spans="1:13" s="48" customFormat="1" ht="29.25" customHeight="1" x14ac:dyDescent="0.25">
      <c r="A9" s="906" t="s">
        <v>3</v>
      </c>
      <c r="B9" s="913" t="s">
        <v>5</v>
      </c>
      <c r="C9" s="914"/>
      <c r="D9" s="914"/>
      <c r="E9" s="915"/>
      <c r="F9" s="913" t="s">
        <v>7</v>
      </c>
      <c r="G9" s="914"/>
      <c r="H9" s="914"/>
      <c r="I9" s="915"/>
      <c r="J9" s="913" t="s">
        <v>306</v>
      </c>
      <c r="K9" s="914"/>
      <c r="L9" s="914"/>
      <c r="M9" s="915"/>
    </row>
    <row r="10" spans="1:13" ht="16.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94" t="s">
        <v>307</v>
      </c>
      <c r="C11" s="476" t="s">
        <v>60</v>
      </c>
      <c r="D11" s="494" t="s">
        <v>307</v>
      </c>
      <c r="E11" s="17" t="s">
        <v>305</v>
      </c>
      <c r="F11" s="494" t="s">
        <v>308</v>
      </c>
      <c r="G11" s="495" t="s">
        <v>60</v>
      </c>
      <c r="H11" s="494" t="s">
        <v>308</v>
      </c>
      <c r="I11" s="17" t="s">
        <v>305</v>
      </c>
      <c r="J11" s="494" t="s">
        <v>309</v>
      </c>
      <c r="K11" s="476" t="s">
        <v>60</v>
      </c>
      <c r="L11" s="494" t="s">
        <v>309</v>
      </c>
      <c r="M11" s="17" t="s">
        <v>305</v>
      </c>
    </row>
    <row r="12" spans="1:13" x14ac:dyDescent="0.25">
      <c r="A12" s="349" t="s">
        <v>81</v>
      </c>
      <c r="B12" s="477">
        <f t="shared" ref="B12:M12" si="0">SUM(B13:B15)</f>
        <v>7250</v>
      </c>
      <c r="C12" s="351">
        <f t="shared" si="0"/>
        <v>108750000</v>
      </c>
      <c r="D12" s="477">
        <f t="shared" si="0"/>
        <v>7381</v>
      </c>
      <c r="E12" s="646">
        <f t="shared" si="0"/>
        <v>77744100</v>
      </c>
      <c r="F12" s="477">
        <f t="shared" si="0"/>
        <v>910</v>
      </c>
      <c r="G12" s="351">
        <f t="shared" si="0"/>
        <v>9100000</v>
      </c>
      <c r="H12" s="477">
        <f t="shared" si="0"/>
        <v>291</v>
      </c>
      <c r="I12" s="351">
        <f t="shared" si="0"/>
        <v>1446865</v>
      </c>
      <c r="J12" s="477">
        <f t="shared" si="0"/>
        <v>5600</v>
      </c>
      <c r="K12" s="351">
        <f t="shared" si="0"/>
        <v>8736000</v>
      </c>
      <c r="L12" s="350">
        <f t="shared" si="0"/>
        <v>3410</v>
      </c>
      <c r="M12" s="351">
        <f t="shared" si="0"/>
        <v>3624494</v>
      </c>
    </row>
    <row r="13" spans="1:13" x14ac:dyDescent="0.25">
      <c r="A13" s="83" t="s">
        <v>150</v>
      </c>
      <c r="B13" s="424">
        <f>3275-47</f>
        <v>3228</v>
      </c>
      <c r="C13" s="442">
        <f t="shared" ref="C13:C15" si="1">B13*15000</f>
        <v>48420000</v>
      </c>
      <c r="D13" s="769">
        <v>3253</v>
      </c>
      <c r="E13" s="756">
        <v>33266800</v>
      </c>
      <c r="F13" s="383">
        <v>430</v>
      </c>
      <c r="G13" s="384">
        <f>F13*10000</f>
        <v>4300000</v>
      </c>
      <c r="H13" s="743">
        <v>157</v>
      </c>
      <c r="I13" s="1078">
        <v>776865</v>
      </c>
      <c r="J13" s="729">
        <v>4000</v>
      </c>
      <c r="K13" s="730">
        <f>J13*1560</f>
        <v>6240000</v>
      </c>
      <c r="L13" s="345"/>
      <c r="M13" s="344"/>
    </row>
    <row r="14" spans="1:13" x14ac:dyDescent="0.25">
      <c r="A14" s="83" t="s">
        <v>151</v>
      </c>
      <c r="B14" s="424">
        <f>2366-307</f>
        <v>2059</v>
      </c>
      <c r="C14" s="442">
        <f t="shared" si="1"/>
        <v>30885000</v>
      </c>
      <c r="D14" s="769">
        <v>2124</v>
      </c>
      <c r="E14" s="756">
        <v>22999300</v>
      </c>
      <c r="F14" s="383">
        <v>250</v>
      </c>
      <c r="G14" s="384">
        <f t="shared" ref="G14:G15" si="2">F14*10000</f>
        <v>2500000</v>
      </c>
      <c r="H14" s="743">
        <v>76</v>
      </c>
      <c r="I14" s="1078">
        <v>380000</v>
      </c>
      <c r="J14" s="729">
        <v>200</v>
      </c>
      <c r="K14" s="730">
        <f t="shared" ref="K14:K15" si="3">J14*1560</f>
        <v>312000</v>
      </c>
      <c r="L14" s="345">
        <v>2100</v>
      </c>
      <c r="M14" s="344">
        <v>3300924</v>
      </c>
    </row>
    <row r="15" spans="1:13" x14ac:dyDescent="0.25">
      <c r="A15" s="83" t="s">
        <v>152</v>
      </c>
      <c r="B15" s="424">
        <v>1963</v>
      </c>
      <c r="C15" s="442">
        <f t="shared" si="1"/>
        <v>29445000</v>
      </c>
      <c r="D15" s="769">
        <v>2004</v>
      </c>
      <c r="E15" s="756">
        <v>21478000</v>
      </c>
      <c r="F15" s="383">
        <v>230</v>
      </c>
      <c r="G15" s="384">
        <f t="shared" si="2"/>
        <v>2300000</v>
      </c>
      <c r="H15" s="743">
        <v>58</v>
      </c>
      <c r="I15" s="1078">
        <v>290000</v>
      </c>
      <c r="J15" s="729">
        <v>1400</v>
      </c>
      <c r="K15" s="730">
        <f t="shared" si="3"/>
        <v>2184000</v>
      </c>
      <c r="L15" s="345">
        <v>1310</v>
      </c>
      <c r="M15" s="344">
        <v>323570</v>
      </c>
    </row>
    <row r="17" spans="1:13" s="48" customFormat="1" ht="36.75" customHeight="1" x14ac:dyDescent="0.25">
      <c r="A17" s="906" t="s">
        <v>3</v>
      </c>
      <c r="B17" s="913" t="s">
        <v>16</v>
      </c>
      <c r="C17" s="914"/>
      <c r="D17" s="914"/>
      <c r="E17" s="915"/>
      <c r="F17" s="913" t="s">
        <v>421</v>
      </c>
      <c r="G17" s="914"/>
      <c r="H17" s="914"/>
      <c r="I17" s="915"/>
      <c r="J17" s="913" t="s">
        <v>329</v>
      </c>
      <c r="K17" s="914"/>
      <c r="L17" s="914"/>
      <c r="M17" s="915"/>
    </row>
    <row r="18" spans="1:13" ht="18" customHeight="1" x14ac:dyDescent="0.25">
      <c r="A18" s="906"/>
      <c r="B18" s="899" t="s">
        <v>327</v>
      </c>
      <c r="C18" s="899"/>
      <c r="D18" s="900" t="s">
        <v>333</v>
      </c>
      <c r="E18" s="901"/>
      <c r="F18" s="899" t="s">
        <v>327</v>
      </c>
      <c r="G18" s="899"/>
      <c r="H18" s="900" t="s">
        <v>333</v>
      </c>
      <c r="I18" s="901"/>
      <c r="J18" s="899" t="s">
        <v>327</v>
      </c>
      <c r="K18" s="899"/>
      <c r="L18" s="900" t="s">
        <v>333</v>
      </c>
      <c r="M18" s="901"/>
    </row>
    <row r="19" spans="1:13" ht="45" customHeight="1" x14ac:dyDescent="0.25">
      <c r="A19" s="906"/>
      <c r="B19" s="494" t="s">
        <v>330</v>
      </c>
      <c r="C19" s="476" t="s">
        <v>60</v>
      </c>
      <c r="D19" s="494" t="s">
        <v>330</v>
      </c>
      <c r="E19" s="17" t="s">
        <v>305</v>
      </c>
      <c r="F19" s="494" t="s">
        <v>253</v>
      </c>
      <c r="G19" s="495" t="s">
        <v>60</v>
      </c>
      <c r="H19" s="494" t="s">
        <v>253</v>
      </c>
      <c r="I19" s="17" t="s">
        <v>305</v>
      </c>
      <c r="J19" s="494" t="s">
        <v>310</v>
      </c>
      <c r="K19" s="476" t="s">
        <v>60</v>
      </c>
      <c r="L19" s="494" t="s">
        <v>310</v>
      </c>
      <c r="M19" s="17" t="s">
        <v>305</v>
      </c>
    </row>
    <row r="20" spans="1:13" x14ac:dyDescent="0.25">
      <c r="A20" s="349" t="s">
        <v>81</v>
      </c>
      <c r="B20" s="477">
        <f t="shared" ref="B20:M20" si="4">SUM(B21:B23)</f>
        <v>1031</v>
      </c>
      <c r="C20" s="351">
        <f t="shared" si="4"/>
        <v>6186000</v>
      </c>
      <c r="D20" s="477">
        <f t="shared" si="4"/>
        <v>1548</v>
      </c>
      <c r="E20" s="351">
        <f t="shared" si="4"/>
        <v>9288000</v>
      </c>
      <c r="F20" s="477">
        <f t="shared" si="4"/>
        <v>6</v>
      </c>
      <c r="G20" s="351">
        <f t="shared" si="4"/>
        <v>6575000</v>
      </c>
      <c r="H20" s="477">
        <f t="shared" si="4"/>
        <v>0</v>
      </c>
      <c r="I20" s="351">
        <f t="shared" si="4"/>
        <v>0</v>
      </c>
      <c r="J20" s="477">
        <f t="shared" si="4"/>
        <v>0</v>
      </c>
      <c r="K20" s="351">
        <f t="shared" si="4"/>
        <v>0</v>
      </c>
      <c r="L20" s="350">
        <f t="shared" si="4"/>
        <v>885</v>
      </c>
      <c r="M20" s="351">
        <f t="shared" si="4"/>
        <v>3376000</v>
      </c>
    </row>
    <row r="21" spans="1:13" x14ac:dyDescent="0.25">
      <c r="A21" s="83" t="s">
        <v>150</v>
      </c>
      <c r="B21" s="729">
        <v>372</v>
      </c>
      <c r="C21" s="730">
        <f t="shared" ref="C21:C23" si="5">B21*500*12</f>
        <v>2232000</v>
      </c>
      <c r="D21" s="647">
        <v>575</v>
      </c>
      <c r="E21" s="648">
        <f>D21*6000</f>
        <v>3450000</v>
      </c>
      <c r="F21" s="383">
        <f>3</f>
        <v>3</v>
      </c>
      <c r="G21" s="384">
        <f>1000000+2000000+525000</f>
        <v>3525000</v>
      </c>
      <c r="H21" s="30"/>
      <c r="I21" s="384"/>
      <c r="J21" s="478"/>
      <c r="K21" s="386"/>
      <c r="L21" s="739">
        <v>517</v>
      </c>
      <c r="M21" s="740">
        <v>1968000</v>
      </c>
    </row>
    <row r="22" spans="1:13" x14ac:dyDescent="0.25">
      <c r="A22" s="83" t="s">
        <v>151</v>
      </c>
      <c r="B22" s="729">
        <v>337</v>
      </c>
      <c r="C22" s="730">
        <f t="shared" si="5"/>
        <v>2022000</v>
      </c>
      <c r="D22" s="647">
        <v>528</v>
      </c>
      <c r="E22" s="648">
        <f t="shared" ref="E22:E23" si="6">D22*6000</f>
        <v>3168000</v>
      </c>
      <c r="F22" s="383">
        <f>1+1</f>
        <v>2</v>
      </c>
      <c r="G22" s="384">
        <v>2050000</v>
      </c>
      <c r="H22" s="30"/>
      <c r="I22" s="384"/>
      <c r="J22" s="478"/>
      <c r="K22" s="386"/>
      <c r="L22" s="739">
        <v>231</v>
      </c>
      <c r="M22" s="740">
        <v>908000</v>
      </c>
    </row>
    <row r="23" spans="1:13" x14ac:dyDescent="0.25">
      <c r="A23" s="83" t="s">
        <v>152</v>
      </c>
      <c r="B23" s="729">
        <v>322</v>
      </c>
      <c r="C23" s="730">
        <f t="shared" si="5"/>
        <v>1932000</v>
      </c>
      <c r="D23" s="101">
        <v>445</v>
      </c>
      <c r="E23" s="648">
        <f t="shared" si="6"/>
        <v>2670000</v>
      </c>
      <c r="F23" s="383">
        <v>1</v>
      </c>
      <c r="G23" s="384">
        <v>1000000</v>
      </c>
      <c r="H23" s="30"/>
      <c r="I23" s="384"/>
      <c r="J23" s="478"/>
      <c r="K23" s="386"/>
      <c r="L23" s="739">
        <v>137</v>
      </c>
      <c r="M23" s="740">
        <v>500000</v>
      </c>
    </row>
    <row r="25" spans="1:13" ht="28.5" customHeight="1" x14ac:dyDescent="0.25">
      <c r="A25" s="906" t="s">
        <v>3</v>
      </c>
      <c r="B25" s="986" t="s">
        <v>331</v>
      </c>
      <c r="C25" s="900"/>
      <c r="D25" s="900"/>
      <c r="E25" s="901"/>
      <c r="F25" s="986" t="s">
        <v>81</v>
      </c>
      <c r="G25" s="900"/>
      <c r="H25" s="900"/>
      <c r="I25" s="901"/>
      <c r="J25" s="1004"/>
      <c r="K25" s="1004"/>
      <c r="L25" s="1004"/>
      <c r="M25" s="1004"/>
    </row>
    <row r="26" spans="1:13" ht="24.75" customHeight="1" x14ac:dyDescent="0.25">
      <c r="A26" s="906"/>
      <c r="B26" s="899" t="s">
        <v>327</v>
      </c>
      <c r="C26" s="899"/>
      <c r="D26" s="900" t="s">
        <v>333</v>
      </c>
      <c r="E26" s="901"/>
      <c r="F26" s="907" t="s">
        <v>60</v>
      </c>
      <c r="G26" s="908"/>
      <c r="H26" s="907" t="s">
        <v>305</v>
      </c>
      <c r="I26" s="908"/>
      <c r="J26" s="1004"/>
      <c r="K26" s="1004"/>
      <c r="L26" s="1004"/>
      <c r="M26" s="1004"/>
    </row>
    <row r="27" spans="1:13" ht="45" customHeight="1" x14ac:dyDescent="0.25">
      <c r="A27" s="906"/>
      <c r="B27" s="494" t="s">
        <v>308</v>
      </c>
      <c r="C27" s="476" t="s">
        <v>60</v>
      </c>
      <c r="D27" s="494" t="s">
        <v>332</v>
      </c>
      <c r="E27" s="17" t="s">
        <v>305</v>
      </c>
      <c r="F27" s="909"/>
      <c r="G27" s="910"/>
      <c r="H27" s="909"/>
      <c r="I27" s="910"/>
      <c r="J27" s="1004"/>
      <c r="K27" s="1004"/>
      <c r="L27" s="1004"/>
      <c r="M27" s="1004"/>
    </row>
    <row r="28" spans="1:13" x14ac:dyDescent="0.25">
      <c r="A28" s="349" t="s">
        <v>81</v>
      </c>
      <c r="B28" s="477">
        <f>SUM(B29:B31)</f>
        <v>0</v>
      </c>
      <c r="C28" s="351">
        <f>SUM(C29:C31)</f>
        <v>0</v>
      </c>
      <c r="D28" s="477">
        <f>SUM(D29:D31)</f>
        <v>5</v>
      </c>
      <c r="E28" s="351">
        <f>SUM(E29:E31)</f>
        <v>13900</v>
      </c>
      <c r="F28" s="904">
        <f>SUM(F29:F31)</f>
        <v>139347000</v>
      </c>
      <c r="G28" s="905"/>
      <c r="H28" s="904">
        <f>SUM(H29:I31)</f>
        <v>95493359</v>
      </c>
      <c r="I28" s="905"/>
      <c r="J28" s="1005"/>
      <c r="K28" s="1005"/>
      <c r="L28" s="1005"/>
      <c r="M28" s="1005"/>
    </row>
    <row r="29" spans="1:13" x14ac:dyDescent="0.25">
      <c r="A29" s="83" t="s">
        <v>150</v>
      </c>
      <c r="B29" s="494"/>
      <c r="C29" s="17"/>
      <c r="D29" s="739">
        <v>2</v>
      </c>
      <c r="E29" s="740">
        <v>1900</v>
      </c>
      <c r="F29" s="902">
        <f>C13+G13+K13+C21+G21+K21+C29</f>
        <v>64717000</v>
      </c>
      <c r="G29" s="903"/>
      <c r="H29" s="902">
        <f>E13+I13+M13+E21+I21+M21+E29</f>
        <v>39463565</v>
      </c>
      <c r="I29" s="903"/>
      <c r="J29" s="994"/>
      <c r="K29" s="994"/>
      <c r="L29" s="994"/>
      <c r="M29" s="994"/>
    </row>
    <row r="30" spans="1:13" x14ac:dyDescent="0.25">
      <c r="A30" s="83" t="s">
        <v>151</v>
      </c>
      <c r="B30" s="494"/>
      <c r="C30" s="17"/>
      <c r="D30" s="739">
        <v>2</v>
      </c>
      <c r="E30" s="740">
        <v>10000</v>
      </c>
      <c r="F30" s="902">
        <f>C14+G14+K14+C22+G22+K22+C30</f>
        <v>37769000</v>
      </c>
      <c r="G30" s="903"/>
      <c r="H30" s="902">
        <f>E14+I14+M14+E22+I22+M22+E30</f>
        <v>30766224</v>
      </c>
      <c r="I30" s="903"/>
      <c r="J30" s="177"/>
      <c r="K30" s="177"/>
      <c r="L30" s="177"/>
      <c r="M30" s="177"/>
    </row>
    <row r="31" spans="1:13" x14ac:dyDescent="0.25">
      <c r="A31" s="83" t="s">
        <v>152</v>
      </c>
      <c r="B31" s="494"/>
      <c r="C31" s="17"/>
      <c r="D31" s="739">
        <v>1</v>
      </c>
      <c r="E31" s="740">
        <v>2000</v>
      </c>
      <c r="F31" s="902">
        <f>C15+G15+K15+C23+G23+K23+C31</f>
        <v>36861000</v>
      </c>
      <c r="G31" s="903"/>
      <c r="H31" s="902">
        <f>E15+I15+M15+E23+I23+M23+E31</f>
        <v>25263570</v>
      </c>
      <c r="I31" s="903"/>
      <c r="J31" s="177"/>
      <c r="K31" s="177"/>
      <c r="L31" s="177"/>
      <c r="M31" s="177"/>
    </row>
  </sheetData>
  <mergeCells count="47">
    <mergeCell ref="F30:G30"/>
    <mergeCell ref="F31:G31"/>
    <mergeCell ref="H30:I30"/>
    <mergeCell ref="H31:I31"/>
    <mergeCell ref="F26:G27"/>
    <mergeCell ref="H26:I27"/>
    <mergeCell ref="F28:G28"/>
    <mergeCell ref="H28:I28"/>
    <mergeCell ref="F29:G29"/>
    <mergeCell ref="H29:I29"/>
    <mergeCell ref="J26:K27"/>
    <mergeCell ref="L26:M27"/>
    <mergeCell ref="J28:K28"/>
    <mergeCell ref="L28:M28"/>
    <mergeCell ref="J29:K29"/>
    <mergeCell ref="L29:M29"/>
    <mergeCell ref="L18:M18"/>
    <mergeCell ref="A25:A27"/>
    <mergeCell ref="B25:E25"/>
    <mergeCell ref="F25:I25"/>
    <mergeCell ref="J25:M25"/>
    <mergeCell ref="B26:C26"/>
    <mergeCell ref="D26:E26"/>
    <mergeCell ref="A17:A19"/>
    <mergeCell ref="B17:E17"/>
    <mergeCell ref="F17:I17"/>
    <mergeCell ref="J17:M17"/>
    <mergeCell ref="B18:C18"/>
    <mergeCell ref="D18:E18"/>
    <mergeCell ref="F18:G18"/>
    <mergeCell ref="H18:I18"/>
    <mergeCell ref="J18:K18"/>
    <mergeCell ref="L10:M10"/>
    <mergeCell ref="A1:M1"/>
    <mergeCell ref="A2:M2"/>
    <mergeCell ref="A3:M3"/>
    <mergeCell ref="A5:M5"/>
    <mergeCell ref="A6:M6"/>
    <mergeCell ref="A9:A11"/>
    <mergeCell ref="B9:E9"/>
    <mergeCell ref="F9:I9"/>
    <mergeCell ref="J9:M9"/>
    <mergeCell ref="B10:C10"/>
    <mergeCell ref="D10:E10"/>
    <mergeCell ref="F10:G10"/>
    <mergeCell ref="H10:I10"/>
    <mergeCell ref="J10:K10"/>
  </mergeCells>
  <pageMargins left="0.83" right="0.15748031496063" top="1.25" bottom="0.74803149606299202" header="0.78740157480314998" footer="0.31496062992126"/>
  <pageSetup paperSize="9" scale="90" orientation="portrait"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40"/>
  <sheetViews>
    <sheetView zoomScale="80" zoomScaleNormal="80" workbookViewId="0">
      <selection activeCell="M30" sqref="M30"/>
    </sheetView>
  </sheetViews>
  <sheetFormatPr defaultRowHeight="15" x14ac:dyDescent="0.25"/>
  <cols>
    <col min="1" max="1" width="15.140625" customWidth="1"/>
    <col min="2" max="2" width="11.42578125" customWidth="1"/>
    <col min="3" max="3" width="16.85546875" style="97" customWidth="1"/>
    <col min="4" max="4" width="12" style="97" customWidth="1"/>
    <col min="5" max="5" width="16.7109375" style="97" customWidth="1"/>
    <col min="6" max="6" width="9.5703125" customWidth="1"/>
    <col min="7" max="7" width="14.85546875" customWidth="1"/>
    <col min="8" max="8" width="11" customWidth="1"/>
    <col min="9" max="9" width="14.140625" style="97" customWidth="1"/>
    <col min="10" max="10" width="11.5703125" customWidth="1"/>
    <col min="11" max="11" width="14.5703125" style="97" customWidth="1"/>
    <col min="12" max="12" width="11.42578125" customWidth="1"/>
    <col min="13" max="13" width="17.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360</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96"/>
      <c r="B7" s="496"/>
      <c r="C7" s="496"/>
      <c r="D7" s="496"/>
      <c r="E7" s="496"/>
      <c r="F7" s="496"/>
      <c r="G7" s="496"/>
      <c r="H7" s="496"/>
      <c r="I7" s="496"/>
      <c r="J7" s="496"/>
      <c r="K7" s="496"/>
      <c r="L7" s="496"/>
      <c r="M7" s="496"/>
    </row>
    <row r="8" spans="1:13" s="489" customFormat="1" ht="23.25" x14ac:dyDescent="0.35">
      <c r="A8" s="497" t="s">
        <v>356</v>
      </c>
      <c r="C8" s="490"/>
      <c r="E8" s="490"/>
      <c r="G8" s="490"/>
      <c r="I8" s="490"/>
      <c r="K8" s="490"/>
    </row>
    <row r="9" spans="1:13" s="48" customFormat="1" ht="42" customHeight="1" x14ac:dyDescent="0.25">
      <c r="A9" s="906" t="s">
        <v>3</v>
      </c>
      <c r="B9" s="913" t="s">
        <v>5</v>
      </c>
      <c r="C9" s="914"/>
      <c r="D9" s="914"/>
      <c r="E9" s="915"/>
      <c r="F9" s="913" t="s">
        <v>7</v>
      </c>
      <c r="G9" s="914"/>
      <c r="H9" s="914"/>
      <c r="I9" s="915"/>
      <c r="J9" s="913" t="s">
        <v>306</v>
      </c>
      <c r="K9" s="914"/>
      <c r="L9" s="914"/>
      <c r="M9" s="915"/>
    </row>
    <row r="10" spans="1:13"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94" t="s">
        <v>307</v>
      </c>
      <c r="C11" s="476" t="s">
        <v>60</v>
      </c>
      <c r="D11" s="494" t="s">
        <v>307</v>
      </c>
      <c r="E11" s="17" t="s">
        <v>305</v>
      </c>
      <c r="F11" s="494" t="s">
        <v>308</v>
      </c>
      <c r="G11" s="495" t="s">
        <v>60</v>
      </c>
      <c r="H11" s="494" t="s">
        <v>308</v>
      </c>
      <c r="I11" s="17" t="s">
        <v>305</v>
      </c>
      <c r="J11" s="494" t="s">
        <v>309</v>
      </c>
      <c r="K11" s="476" t="s">
        <v>60</v>
      </c>
      <c r="L11" s="494" t="s">
        <v>309</v>
      </c>
      <c r="M11" s="17" t="s">
        <v>305</v>
      </c>
    </row>
    <row r="12" spans="1:13" x14ac:dyDescent="0.25">
      <c r="A12" s="349" t="s">
        <v>81</v>
      </c>
      <c r="B12" s="477">
        <f t="shared" ref="B12:M12" si="0">SUM(B13:B18)</f>
        <v>12900</v>
      </c>
      <c r="C12" s="351">
        <f t="shared" si="0"/>
        <v>193500000</v>
      </c>
      <c r="D12" s="477">
        <f t="shared" si="0"/>
        <v>13888</v>
      </c>
      <c r="E12" s="646">
        <f t="shared" si="0"/>
        <v>147113500</v>
      </c>
      <c r="F12" s="477">
        <f t="shared" si="0"/>
        <v>1120</v>
      </c>
      <c r="G12" s="351">
        <f t="shared" si="0"/>
        <v>11200000</v>
      </c>
      <c r="H12" s="477">
        <f t="shared" si="0"/>
        <v>912</v>
      </c>
      <c r="I12" s="351">
        <f t="shared" si="0"/>
        <v>5333000</v>
      </c>
      <c r="J12" s="477">
        <f t="shared" si="0"/>
        <v>9250</v>
      </c>
      <c r="K12" s="351">
        <f t="shared" si="0"/>
        <v>14430000</v>
      </c>
      <c r="L12" s="350">
        <f t="shared" si="0"/>
        <v>9039</v>
      </c>
      <c r="M12" s="351">
        <f t="shared" si="0"/>
        <v>10602022</v>
      </c>
    </row>
    <row r="13" spans="1:13" x14ac:dyDescent="0.25">
      <c r="A13" s="83" t="s">
        <v>153</v>
      </c>
      <c r="B13" s="424">
        <f>2109-105</f>
        <v>2004</v>
      </c>
      <c r="C13" s="442">
        <f t="shared" ref="C13:C18" si="1">B13*15000</f>
        <v>30060000</v>
      </c>
      <c r="D13" s="769">
        <v>2108</v>
      </c>
      <c r="E13" s="756">
        <v>23348600</v>
      </c>
      <c r="F13" s="383">
        <v>110</v>
      </c>
      <c r="G13" s="384">
        <f>F13*10000</f>
        <v>1100000</v>
      </c>
      <c r="H13" s="743">
        <v>224</v>
      </c>
      <c r="I13" s="744">
        <v>1529000</v>
      </c>
      <c r="J13" s="729">
        <v>1800</v>
      </c>
      <c r="K13" s="730">
        <f>J13*1560</f>
        <v>2808000</v>
      </c>
      <c r="L13" s="345">
        <v>1686</v>
      </c>
      <c r="M13" s="344">
        <v>2082210</v>
      </c>
    </row>
    <row r="14" spans="1:13" x14ac:dyDescent="0.25">
      <c r="A14" s="83" t="s">
        <v>154</v>
      </c>
      <c r="B14" s="424">
        <v>1964</v>
      </c>
      <c r="C14" s="442">
        <f t="shared" si="1"/>
        <v>29460000</v>
      </c>
      <c r="D14" s="769">
        <v>2301</v>
      </c>
      <c r="E14" s="756">
        <v>24694100</v>
      </c>
      <c r="F14" s="383">
        <v>200</v>
      </c>
      <c r="G14" s="384">
        <f t="shared" ref="G14:G18" si="2">F14*10000</f>
        <v>2000000</v>
      </c>
      <c r="H14" s="743">
        <v>1</v>
      </c>
      <c r="I14" s="744">
        <v>10000</v>
      </c>
      <c r="J14" s="729">
        <v>1900</v>
      </c>
      <c r="K14" s="730">
        <f t="shared" ref="K14:K18" si="3">J14*1560</f>
        <v>2964000</v>
      </c>
      <c r="L14" s="345">
        <v>1960</v>
      </c>
      <c r="M14" s="344">
        <v>3081120</v>
      </c>
    </row>
    <row r="15" spans="1:13" x14ac:dyDescent="0.25">
      <c r="A15" s="83" t="s">
        <v>155</v>
      </c>
      <c r="B15" s="424">
        <v>3620</v>
      </c>
      <c r="C15" s="442">
        <f t="shared" si="1"/>
        <v>54300000</v>
      </c>
      <c r="D15" s="769">
        <v>3868</v>
      </c>
      <c r="E15" s="756">
        <v>39736800</v>
      </c>
      <c r="F15" s="383">
        <v>320</v>
      </c>
      <c r="G15" s="384">
        <f t="shared" si="2"/>
        <v>3200000</v>
      </c>
      <c r="H15" s="743">
        <v>224</v>
      </c>
      <c r="I15" s="744">
        <v>1196000</v>
      </c>
      <c r="J15" s="729">
        <v>2000</v>
      </c>
      <c r="K15" s="730">
        <f t="shared" si="3"/>
        <v>3120000</v>
      </c>
      <c r="L15" s="345">
        <v>2275</v>
      </c>
      <c r="M15" s="344">
        <v>561925</v>
      </c>
    </row>
    <row r="16" spans="1:13" x14ac:dyDescent="0.25">
      <c r="A16" s="83" t="s">
        <v>156</v>
      </c>
      <c r="B16" s="424">
        <f>3418-66</f>
        <v>3352</v>
      </c>
      <c r="C16" s="442">
        <f t="shared" si="1"/>
        <v>50280000</v>
      </c>
      <c r="D16" s="769">
        <v>3273</v>
      </c>
      <c r="E16" s="756">
        <v>36970200</v>
      </c>
      <c r="F16" s="383">
        <v>330</v>
      </c>
      <c r="G16" s="384">
        <f t="shared" si="2"/>
        <v>3300000</v>
      </c>
      <c r="H16" s="743">
        <v>275</v>
      </c>
      <c r="I16" s="744">
        <v>1658000</v>
      </c>
      <c r="J16" s="729">
        <v>2000</v>
      </c>
      <c r="K16" s="730">
        <f t="shared" si="3"/>
        <v>3120000</v>
      </c>
      <c r="L16" s="345">
        <v>2391</v>
      </c>
      <c r="M16" s="344">
        <v>3884412</v>
      </c>
    </row>
    <row r="17" spans="1:13" x14ac:dyDescent="0.25">
      <c r="A17" s="83" t="s">
        <v>157</v>
      </c>
      <c r="B17" s="424">
        <v>1007</v>
      </c>
      <c r="C17" s="442">
        <f t="shared" si="1"/>
        <v>15105000</v>
      </c>
      <c r="D17" s="769">
        <v>1169</v>
      </c>
      <c r="E17" s="756">
        <f>1182700+11010700</f>
        <v>12193400</v>
      </c>
      <c r="F17" s="383">
        <v>100</v>
      </c>
      <c r="G17" s="384">
        <f t="shared" si="2"/>
        <v>1000000</v>
      </c>
      <c r="H17" s="743">
        <v>188</v>
      </c>
      <c r="I17" s="744">
        <v>940000</v>
      </c>
      <c r="J17" s="729">
        <v>700</v>
      </c>
      <c r="K17" s="730">
        <f t="shared" si="3"/>
        <v>1092000</v>
      </c>
      <c r="L17" s="345"/>
      <c r="M17" s="344"/>
    </row>
    <row r="18" spans="1:13" x14ac:dyDescent="0.25">
      <c r="A18" s="83" t="s">
        <v>158</v>
      </c>
      <c r="B18" s="424">
        <v>953</v>
      </c>
      <c r="C18" s="442">
        <f t="shared" si="1"/>
        <v>14295000</v>
      </c>
      <c r="D18" s="769">
        <v>1169</v>
      </c>
      <c r="E18" s="756">
        <v>10170400</v>
      </c>
      <c r="F18" s="383">
        <v>60</v>
      </c>
      <c r="G18" s="384">
        <f t="shared" si="2"/>
        <v>600000</v>
      </c>
      <c r="H18" s="743"/>
      <c r="I18" s="744"/>
      <c r="J18" s="729">
        <v>850</v>
      </c>
      <c r="K18" s="730">
        <f t="shared" si="3"/>
        <v>1326000</v>
      </c>
      <c r="L18" s="345">
        <v>727</v>
      </c>
      <c r="M18" s="344">
        <v>992355</v>
      </c>
    </row>
    <row r="20" spans="1:13" s="48" customFormat="1" ht="21.75" customHeight="1" x14ac:dyDescent="0.25">
      <c r="A20" s="906" t="s">
        <v>3</v>
      </c>
      <c r="B20" s="913" t="s">
        <v>16</v>
      </c>
      <c r="C20" s="914"/>
      <c r="D20" s="914"/>
      <c r="E20" s="915"/>
      <c r="F20" s="913" t="s">
        <v>421</v>
      </c>
      <c r="G20" s="914"/>
      <c r="H20" s="914"/>
      <c r="I20" s="915"/>
      <c r="J20" s="913" t="s">
        <v>329</v>
      </c>
      <c r="K20" s="914"/>
      <c r="L20" s="914"/>
      <c r="M20" s="915"/>
    </row>
    <row r="21" spans="1:13" ht="21" customHeight="1" x14ac:dyDescent="0.25">
      <c r="A21" s="906"/>
      <c r="B21" s="899" t="s">
        <v>327</v>
      </c>
      <c r="C21" s="899"/>
      <c r="D21" s="900" t="s">
        <v>333</v>
      </c>
      <c r="E21" s="901"/>
      <c r="F21" s="899" t="s">
        <v>327</v>
      </c>
      <c r="G21" s="899"/>
      <c r="H21" s="900" t="s">
        <v>333</v>
      </c>
      <c r="I21" s="901"/>
      <c r="J21" s="899" t="s">
        <v>327</v>
      </c>
      <c r="K21" s="899"/>
      <c r="L21" s="900" t="s">
        <v>333</v>
      </c>
      <c r="M21" s="901"/>
    </row>
    <row r="22" spans="1:13" ht="45" customHeight="1" x14ac:dyDescent="0.25">
      <c r="A22" s="906"/>
      <c r="B22" s="494" t="s">
        <v>330</v>
      </c>
      <c r="C22" s="476" t="s">
        <v>60</v>
      </c>
      <c r="D22" s="494" t="s">
        <v>330</v>
      </c>
      <c r="E22" s="17" t="s">
        <v>305</v>
      </c>
      <c r="F22" s="494" t="s">
        <v>253</v>
      </c>
      <c r="G22" s="495" t="s">
        <v>60</v>
      </c>
      <c r="H22" s="494" t="s">
        <v>253</v>
      </c>
      <c r="I22" s="17" t="s">
        <v>305</v>
      </c>
      <c r="J22" s="494" t="s">
        <v>310</v>
      </c>
      <c r="K22" s="476" t="s">
        <v>60</v>
      </c>
      <c r="L22" s="494" t="s">
        <v>310</v>
      </c>
      <c r="M22" s="17" t="s">
        <v>305</v>
      </c>
    </row>
    <row r="23" spans="1:13" x14ac:dyDescent="0.25">
      <c r="A23" s="349" t="s">
        <v>81</v>
      </c>
      <c r="B23" s="477">
        <f t="shared" ref="B23:M23" si="4">SUM(B24:B29)</f>
        <v>2335</v>
      </c>
      <c r="C23" s="351">
        <f t="shared" si="4"/>
        <v>14010000</v>
      </c>
      <c r="D23" s="477">
        <f t="shared" si="4"/>
        <v>12302</v>
      </c>
      <c r="E23" s="351">
        <f t="shared" si="4"/>
        <v>73812000</v>
      </c>
      <c r="F23" s="477">
        <f t="shared" si="4"/>
        <v>12</v>
      </c>
      <c r="G23" s="351">
        <f t="shared" si="4"/>
        <v>17590400</v>
      </c>
      <c r="H23" s="477">
        <f t="shared" si="4"/>
        <v>0</v>
      </c>
      <c r="I23" s="351">
        <f t="shared" si="4"/>
        <v>0</v>
      </c>
      <c r="J23" s="477">
        <f t="shared" si="4"/>
        <v>0</v>
      </c>
      <c r="K23" s="351">
        <f t="shared" si="4"/>
        <v>0</v>
      </c>
      <c r="L23" s="350">
        <f t="shared" si="4"/>
        <v>562</v>
      </c>
      <c r="M23" s="351">
        <f t="shared" si="4"/>
        <v>1953000</v>
      </c>
    </row>
    <row r="24" spans="1:13" x14ac:dyDescent="0.25">
      <c r="A24" s="83" t="s">
        <v>153</v>
      </c>
      <c r="B24" s="729">
        <v>328</v>
      </c>
      <c r="C24" s="730">
        <f t="shared" ref="C24:C29" si="5">B24*500*12</f>
        <v>1968000</v>
      </c>
      <c r="D24" s="101">
        <v>682</v>
      </c>
      <c r="E24" s="648">
        <f>D24*6000</f>
        <v>4092000</v>
      </c>
      <c r="F24" s="383">
        <v>1</v>
      </c>
      <c r="G24" s="384">
        <v>1500000</v>
      </c>
      <c r="H24" s="30"/>
      <c r="I24" s="384"/>
      <c r="J24" s="478"/>
      <c r="K24" s="386"/>
      <c r="L24" s="739">
        <v>164</v>
      </c>
      <c r="M24" s="740">
        <v>521500</v>
      </c>
    </row>
    <row r="25" spans="1:13" x14ac:dyDescent="0.25">
      <c r="A25" s="83" t="s">
        <v>154</v>
      </c>
      <c r="B25" s="729">
        <v>514</v>
      </c>
      <c r="C25" s="730">
        <f t="shared" si="5"/>
        <v>3084000</v>
      </c>
      <c r="D25" s="101">
        <v>787</v>
      </c>
      <c r="E25" s="648">
        <f t="shared" ref="E25:E29" si="6">D25*6000</f>
        <v>4722000</v>
      </c>
      <c r="F25" s="383">
        <v>3</v>
      </c>
      <c r="G25" s="384">
        <f>561000+501500+2133500</f>
        <v>3196000</v>
      </c>
      <c r="H25" s="30"/>
      <c r="I25" s="384"/>
      <c r="J25" s="478"/>
      <c r="K25" s="386"/>
      <c r="L25" s="739">
        <v>123</v>
      </c>
      <c r="M25" s="740">
        <v>506500</v>
      </c>
    </row>
    <row r="26" spans="1:13" x14ac:dyDescent="0.25">
      <c r="A26" s="83" t="s">
        <v>155</v>
      </c>
      <c r="B26" s="729">
        <v>469</v>
      </c>
      <c r="C26" s="730">
        <f t="shared" si="5"/>
        <v>2814000</v>
      </c>
      <c r="D26" s="647">
        <v>959</v>
      </c>
      <c r="E26" s="648">
        <f t="shared" si="6"/>
        <v>5754000</v>
      </c>
      <c r="F26" s="383">
        <v>1</v>
      </c>
      <c r="G26" s="384">
        <v>1000000</v>
      </c>
      <c r="H26" s="30"/>
      <c r="I26" s="384"/>
      <c r="J26" s="478"/>
      <c r="K26" s="386"/>
      <c r="L26" s="739">
        <v>98</v>
      </c>
      <c r="M26" s="740">
        <v>382000</v>
      </c>
    </row>
    <row r="27" spans="1:13" x14ac:dyDescent="0.25">
      <c r="A27" s="83" t="s">
        <v>156</v>
      </c>
      <c r="B27" s="729">
        <v>394</v>
      </c>
      <c r="C27" s="730">
        <f t="shared" si="5"/>
        <v>2364000</v>
      </c>
      <c r="D27" s="647">
        <v>8814</v>
      </c>
      <c r="E27" s="648">
        <f t="shared" si="6"/>
        <v>52884000</v>
      </c>
      <c r="F27" s="383">
        <v>1</v>
      </c>
      <c r="G27" s="384">
        <v>4100000</v>
      </c>
      <c r="H27" s="30"/>
      <c r="I27" s="384"/>
      <c r="J27" s="478"/>
      <c r="K27" s="386"/>
      <c r="L27" s="739">
        <v>39</v>
      </c>
      <c r="M27" s="740">
        <v>185000</v>
      </c>
    </row>
    <row r="28" spans="1:13" x14ac:dyDescent="0.25">
      <c r="A28" s="83" t="s">
        <v>157</v>
      </c>
      <c r="B28" s="729">
        <v>324</v>
      </c>
      <c r="C28" s="730">
        <f t="shared" si="5"/>
        <v>1944000</v>
      </c>
      <c r="D28" s="647">
        <v>504</v>
      </c>
      <c r="E28" s="648">
        <f t="shared" si="6"/>
        <v>3024000</v>
      </c>
      <c r="F28" s="383">
        <v>3</v>
      </c>
      <c r="G28" s="384">
        <v>3594400</v>
      </c>
      <c r="H28" s="30"/>
      <c r="I28" s="384"/>
      <c r="J28" s="478"/>
      <c r="K28" s="386"/>
      <c r="L28" s="739">
        <v>108</v>
      </c>
      <c r="M28" s="740">
        <v>234000</v>
      </c>
    </row>
    <row r="29" spans="1:13" x14ac:dyDescent="0.25">
      <c r="A29" s="83" t="s">
        <v>158</v>
      </c>
      <c r="B29" s="729">
        <v>306</v>
      </c>
      <c r="C29" s="730">
        <f t="shared" si="5"/>
        <v>1836000</v>
      </c>
      <c r="D29" s="647">
        <v>556</v>
      </c>
      <c r="E29" s="648">
        <f t="shared" si="6"/>
        <v>3336000</v>
      </c>
      <c r="F29" s="383">
        <f>3</f>
        <v>3</v>
      </c>
      <c r="G29" s="384">
        <f>1500000+1900000+800000</f>
        <v>4200000</v>
      </c>
      <c r="H29" s="30"/>
      <c r="I29" s="384"/>
      <c r="J29" s="478"/>
      <c r="K29" s="386"/>
      <c r="L29" s="739">
        <v>30</v>
      </c>
      <c r="M29" s="740">
        <v>124000</v>
      </c>
    </row>
    <row r="31" spans="1:13" s="48" customFormat="1" ht="33.75" customHeight="1" x14ac:dyDescent="0.25">
      <c r="A31" s="906" t="s">
        <v>3</v>
      </c>
      <c r="B31" s="913" t="s">
        <v>331</v>
      </c>
      <c r="C31" s="914"/>
      <c r="D31" s="914"/>
      <c r="E31" s="915"/>
      <c r="F31" s="913" t="s">
        <v>389</v>
      </c>
      <c r="G31" s="914"/>
      <c r="H31" s="914"/>
      <c r="I31" s="915"/>
      <c r="J31" s="995" t="s">
        <v>81</v>
      </c>
      <c r="K31" s="995"/>
      <c r="L31" s="995"/>
      <c r="M31" s="995"/>
    </row>
    <row r="32" spans="1:13" ht="16.5" customHeight="1" x14ac:dyDescent="0.25">
      <c r="A32" s="906"/>
      <c r="B32" s="899" t="s">
        <v>327</v>
      </c>
      <c r="C32" s="899"/>
      <c r="D32" s="900" t="s">
        <v>333</v>
      </c>
      <c r="E32" s="901"/>
      <c r="F32" s="899" t="s">
        <v>327</v>
      </c>
      <c r="G32" s="899"/>
      <c r="H32" s="900" t="s">
        <v>333</v>
      </c>
      <c r="I32" s="901"/>
      <c r="J32" s="899" t="s">
        <v>60</v>
      </c>
      <c r="K32" s="899"/>
      <c r="L32" s="899" t="s">
        <v>305</v>
      </c>
      <c r="M32" s="899"/>
    </row>
    <row r="33" spans="1:13" ht="45" customHeight="1" x14ac:dyDescent="0.25">
      <c r="A33" s="906"/>
      <c r="B33" s="494" t="s">
        <v>308</v>
      </c>
      <c r="C33" s="476" t="s">
        <v>60</v>
      </c>
      <c r="D33" s="494" t="s">
        <v>332</v>
      </c>
      <c r="E33" s="17" t="s">
        <v>305</v>
      </c>
      <c r="F33" s="560" t="s">
        <v>310</v>
      </c>
      <c r="G33" s="476" t="s">
        <v>60</v>
      </c>
      <c r="H33" s="560" t="s">
        <v>310</v>
      </c>
      <c r="I33" s="17" t="s">
        <v>305</v>
      </c>
      <c r="J33" s="899"/>
      <c r="K33" s="899"/>
      <c r="L33" s="899"/>
      <c r="M33" s="899"/>
    </row>
    <row r="34" spans="1:13" x14ac:dyDescent="0.25">
      <c r="A34" s="349" t="s">
        <v>81</v>
      </c>
      <c r="B34" s="477">
        <f>SUM(B35:B41)</f>
        <v>0</v>
      </c>
      <c r="C34" s="351">
        <f>SUM(C35:C41)</f>
        <v>0</v>
      </c>
      <c r="D34" s="477">
        <f>SUM(D35:D41)</f>
        <v>10</v>
      </c>
      <c r="E34" s="351">
        <f>SUM(E35:E41)</f>
        <v>46000</v>
      </c>
      <c r="F34" s="477">
        <f t="shared" ref="F34:I34" si="7">SUM(F35:F40)</f>
        <v>0</v>
      </c>
      <c r="G34" s="351">
        <f t="shared" si="7"/>
        <v>0</v>
      </c>
      <c r="H34" s="350">
        <f t="shared" si="7"/>
        <v>0</v>
      </c>
      <c r="I34" s="351">
        <f t="shared" si="7"/>
        <v>0</v>
      </c>
      <c r="J34" s="987">
        <f>SUM(G34,C34,K23,G23,C23,K12,G12,C12)</f>
        <v>250730400</v>
      </c>
      <c r="K34" s="987"/>
      <c r="L34" s="987">
        <f>SUM(L35:M40)</f>
        <v>238859522</v>
      </c>
      <c r="M34" s="987"/>
    </row>
    <row r="35" spans="1:13" x14ac:dyDescent="0.25">
      <c r="A35" s="83" t="s">
        <v>153</v>
      </c>
      <c r="B35" s="494"/>
      <c r="C35" s="17"/>
      <c r="D35" s="739"/>
      <c r="E35" s="740"/>
      <c r="F35" s="478"/>
      <c r="G35" s="386"/>
      <c r="H35" s="345"/>
      <c r="I35" s="344"/>
      <c r="J35" s="961">
        <f t="shared" ref="J35:J40" si="8">C13+G13+K13+C24+G24+K24+C35</f>
        <v>37436000</v>
      </c>
      <c r="K35" s="961"/>
      <c r="L35" s="961">
        <f t="shared" ref="L35:L40" si="9">E13+I13+M13+E24+I24+M24+E35+I35</f>
        <v>31573310</v>
      </c>
      <c r="M35" s="961"/>
    </row>
    <row r="36" spans="1:13" x14ac:dyDescent="0.25">
      <c r="A36" s="83" t="s">
        <v>154</v>
      </c>
      <c r="B36" s="494"/>
      <c r="C36" s="17"/>
      <c r="D36" s="739">
        <v>2</v>
      </c>
      <c r="E36" s="740">
        <v>10000</v>
      </c>
      <c r="F36" s="478"/>
      <c r="G36" s="386"/>
      <c r="H36" s="345"/>
      <c r="I36" s="344"/>
      <c r="J36" s="961">
        <f t="shared" si="8"/>
        <v>40704000</v>
      </c>
      <c r="K36" s="961"/>
      <c r="L36" s="961">
        <f t="shared" si="9"/>
        <v>33023720</v>
      </c>
      <c r="M36" s="961"/>
    </row>
    <row r="37" spans="1:13" x14ac:dyDescent="0.25">
      <c r="A37" s="83" t="s">
        <v>155</v>
      </c>
      <c r="B37" s="494"/>
      <c r="C37" s="17"/>
      <c r="D37" s="739">
        <v>6</v>
      </c>
      <c r="E37" s="740">
        <v>26000</v>
      </c>
      <c r="F37" s="478"/>
      <c r="G37" s="386"/>
      <c r="H37" s="345"/>
      <c r="I37" s="344"/>
      <c r="J37" s="961">
        <f t="shared" si="8"/>
        <v>64434000</v>
      </c>
      <c r="K37" s="961"/>
      <c r="L37" s="961">
        <f t="shared" si="9"/>
        <v>47656725</v>
      </c>
      <c r="M37" s="961"/>
    </row>
    <row r="38" spans="1:13" x14ac:dyDescent="0.25">
      <c r="A38" s="83" t="s">
        <v>156</v>
      </c>
      <c r="B38" s="494"/>
      <c r="C38" s="17"/>
      <c r="D38" s="739"/>
      <c r="E38" s="740"/>
      <c r="F38" s="478"/>
      <c r="G38" s="386"/>
      <c r="H38" s="345"/>
      <c r="I38" s="344"/>
      <c r="J38" s="961">
        <f t="shared" si="8"/>
        <v>63164000</v>
      </c>
      <c r="K38" s="961"/>
      <c r="L38" s="961">
        <f t="shared" si="9"/>
        <v>95581612</v>
      </c>
      <c r="M38" s="961"/>
    </row>
    <row r="39" spans="1:13" x14ac:dyDescent="0.25">
      <c r="A39" s="83" t="s">
        <v>157</v>
      </c>
      <c r="B39" s="494"/>
      <c r="C39" s="17"/>
      <c r="D39" s="739">
        <v>1</v>
      </c>
      <c r="E39" s="740">
        <v>5000</v>
      </c>
      <c r="F39" s="478"/>
      <c r="G39" s="386"/>
      <c r="H39" s="345"/>
      <c r="I39" s="344"/>
      <c r="J39" s="961">
        <f t="shared" si="8"/>
        <v>22735400</v>
      </c>
      <c r="K39" s="961"/>
      <c r="L39" s="961">
        <f t="shared" si="9"/>
        <v>16396400</v>
      </c>
      <c r="M39" s="961"/>
    </row>
    <row r="40" spans="1:13" x14ac:dyDescent="0.25">
      <c r="A40" s="83" t="s">
        <v>158</v>
      </c>
      <c r="B40" s="494"/>
      <c r="C40" s="17"/>
      <c r="D40" s="739">
        <v>1</v>
      </c>
      <c r="E40" s="740">
        <v>5000</v>
      </c>
      <c r="F40" s="478"/>
      <c r="G40" s="386"/>
      <c r="H40" s="345"/>
      <c r="I40" s="344"/>
      <c r="J40" s="961">
        <f t="shared" si="8"/>
        <v>22257000</v>
      </c>
      <c r="K40" s="961"/>
      <c r="L40" s="961">
        <f t="shared" si="9"/>
        <v>14627755</v>
      </c>
      <c r="M40" s="961"/>
    </row>
  </sheetData>
  <mergeCells count="49">
    <mergeCell ref="J40:K40"/>
    <mergeCell ref="L36:M36"/>
    <mergeCell ref="L37:M37"/>
    <mergeCell ref="L38:M38"/>
    <mergeCell ref="L40:M40"/>
    <mergeCell ref="J36:K36"/>
    <mergeCell ref="J37:K37"/>
    <mergeCell ref="J39:K39"/>
    <mergeCell ref="L39:M39"/>
    <mergeCell ref="J34:K34"/>
    <mergeCell ref="L34:M34"/>
    <mergeCell ref="J35:K35"/>
    <mergeCell ref="L35:M35"/>
    <mergeCell ref="J38:K38"/>
    <mergeCell ref="A31:A33"/>
    <mergeCell ref="B31:E31"/>
    <mergeCell ref="J31:M31"/>
    <mergeCell ref="B32:C32"/>
    <mergeCell ref="D32:E32"/>
    <mergeCell ref="J32:K33"/>
    <mergeCell ref="L32:M33"/>
    <mergeCell ref="F31:I31"/>
    <mergeCell ref="F32:G32"/>
    <mergeCell ref="H32:I32"/>
    <mergeCell ref="A20:A22"/>
    <mergeCell ref="B20:E20"/>
    <mergeCell ref="F20:I20"/>
    <mergeCell ref="J20:M20"/>
    <mergeCell ref="B21:C21"/>
    <mergeCell ref="D21:E21"/>
    <mergeCell ref="F21:G21"/>
    <mergeCell ref="H21:I21"/>
    <mergeCell ref="J21:K21"/>
    <mergeCell ref="L21:M21"/>
    <mergeCell ref="L10:M10"/>
    <mergeCell ref="A1:M1"/>
    <mergeCell ref="A2:M2"/>
    <mergeCell ref="A3:M3"/>
    <mergeCell ref="A5:M5"/>
    <mergeCell ref="A6:M6"/>
    <mergeCell ref="A9:A11"/>
    <mergeCell ref="B9:E9"/>
    <mergeCell ref="F9:I9"/>
    <mergeCell ref="J9:M9"/>
    <mergeCell ref="B10:C10"/>
    <mergeCell ref="D10:E10"/>
    <mergeCell ref="F10:G10"/>
    <mergeCell ref="H10:I10"/>
    <mergeCell ref="J10:K10"/>
  </mergeCells>
  <pageMargins left="1.3" right="0.15748031496063" top="1.18" bottom="0.35433070866141703" header="0.78740157480314998" footer="0.31496062992126"/>
  <pageSetup paperSize="9" scale="80" orientation="portrait"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48"/>
  <sheetViews>
    <sheetView view="pageBreakPreview" zoomScale="80" zoomScaleNormal="80" zoomScaleSheetLayoutView="80" workbookViewId="0">
      <selection activeCell="M28" sqref="M28"/>
    </sheetView>
  </sheetViews>
  <sheetFormatPr defaultRowHeight="15" x14ac:dyDescent="0.25"/>
  <cols>
    <col min="1" max="1" width="14.28515625" style="666" customWidth="1"/>
    <col min="2" max="2" width="11.42578125" style="666" customWidth="1"/>
    <col min="3" max="3" width="16.5703125" style="690" customWidth="1"/>
    <col min="4" max="4" width="12" style="690" customWidth="1"/>
    <col min="5" max="5" width="17.85546875" style="690" customWidth="1"/>
    <col min="6" max="6" width="9.5703125" style="666" customWidth="1"/>
    <col min="7" max="7" width="15" style="666" customWidth="1"/>
    <col min="8" max="8" width="11" style="666" customWidth="1"/>
    <col min="9" max="9" width="14.7109375" style="690" customWidth="1"/>
    <col min="10" max="10" width="11.5703125" style="666" customWidth="1"/>
    <col min="11" max="11" width="14.5703125" style="690" customWidth="1"/>
    <col min="12" max="12" width="11.42578125" style="666" customWidth="1"/>
    <col min="13" max="13" width="17.140625" style="690" customWidth="1"/>
    <col min="14" max="14" width="17.42578125" style="666" customWidth="1"/>
    <col min="15" max="15" width="9.140625" style="666"/>
    <col min="16" max="16" width="18.140625" style="666" customWidth="1"/>
    <col min="17" max="17" width="9.140625" style="666"/>
    <col min="18" max="18" width="15.42578125" style="666" customWidth="1"/>
    <col min="19" max="19" width="9.140625" style="666"/>
    <col min="20" max="20" width="15.42578125" style="666" customWidth="1"/>
    <col min="21" max="16384" width="9.140625" style="666"/>
  </cols>
  <sheetData>
    <row r="1" spans="1:13" x14ac:dyDescent="0.25">
      <c r="A1" s="947" t="s">
        <v>39</v>
      </c>
      <c r="B1" s="947"/>
      <c r="C1" s="947"/>
      <c r="D1" s="947"/>
      <c r="E1" s="947"/>
      <c r="F1" s="947"/>
      <c r="G1" s="947"/>
      <c r="H1" s="947"/>
      <c r="I1" s="947"/>
      <c r="J1" s="947"/>
      <c r="K1" s="947"/>
      <c r="L1" s="947"/>
      <c r="M1" s="947"/>
    </row>
    <row r="2" spans="1:13" x14ac:dyDescent="0.25">
      <c r="A2" s="947" t="s">
        <v>40</v>
      </c>
      <c r="B2" s="947"/>
      <c r="C2" s="947"/>
      <c r="D2" s="947"/>
      <c r="E2" s="947"/>
      <c r="F2" s="947"/>
      <c r="G2" s="947"/>
      <c r="H2" s="947"/>
      <c r="I2" s="947"/>
      <c r="J2" s="947"/>
      <c r="K2" s="947"/>
      <c r="L2" s="947"/>
      <c r="M2" s="947"/>
    </row>
    <row r="3" spans="1:13" x14ac:dyDescent="0.25">
      <c r="A3" s="947" t="s">
        <v>302</v>
      </c>
      <c r="B3" s="947"/>
      <c r="C3" s="947"/>
      <c r="D3" s="947"/>
      <c r="E3" s="947"/>
      <c r="F3" s="947"/>
      <c r="G3" s="947"/>
      <c r="H3" s="947"/>
      <c r="I3" s="947"/>
      <c r="J3" s="947"/>
      <c r="K3" s="947"/>
      <c r="L3" s="947"/>
      <c r="M3" s="947"/>
    </row>
    <row r="5" spans="1:13" ht="18.75" x14ac:dyDescent="0.3">
      <c r="A5" s="948" t="s">
        <v>361</v>
      </c>
      <c r="B5" s="948"/>
      <c r="C5" s="948"/>
      <c r="D5" s="948"/>
      <c r="E5" s="948"/>
      <c r="F5" s="948"/>
      <c r="G5" s="948"/>
      <c r="H5" s="948"/>
      <c r="I5" s="948"/>
      <c r="J5" s="948"/>
      <c r="K5" s="948"/>
      <c r="L5" s="948"/>
      <c r="M5" s="948"/>
    </row>
    <row r="6" spans="1:13" ht="18.75" x14ac:dyDescent="0.3">
      <c r="A6" s="948" t="str">
        <f>Summary2015!$A$6</f>
        <v>JANUARY TO DECEMBER 2015</v>
      </c>
      <c r="B6" s="948"/>
      <c r="C6" s="948"/>
      <c r="D6" s="948"/>
      <c r="E6" s="948"/>
      <c r="F6" s="948"/>
      <c r="G6" s="948"/>
      <c r="H6" s="948"/>
      <c r="I6" s="948"/>
      <c r="J6" s="948"/>
      <c r="K6" s="948"/>
      <c r="L6" s="948"/>
      <c r="M6" s="948"/>
    </row>
    <row r="7" spans="1:13" ht="6.75" customHeight="1" x14ac:dyDescent="0.3">
      <c r="A7" s="667"/>
      <c r="B7" s="667"/>
      <c r="C7" s="667"/>
      <c r="D7" s="667"/>
      <c r="E7" s="667"/>
      <c r="F7" s="667"/>
      <c r="G7" s="667"/>
      <c r="H7" s="667"/>
      <c r="I7" s="667"/>
      <c r="J7" s="667"/>
      <c r="K7" s="667"/>
      <c r="L7" s="667"/>
      <c r="M7" s="667"/>
    </row>
    <row r="8" spans="1:13" s="670" customFormat="1" ht="23.25" x14ac:dyDescent="0.35">
      <c r="A8" s="668" t="s">
        <v>357</v>
      </c>
      <c r="B8" s="669"/>
      <c r="D8" s="671"/>
    </row>
    <row r="9" spans="1:13" s="672" customFormat="1" ht="28.5" customHeight="1" x14ac:dyDescent="0.25">
      <c r="A9" s="949" t="s">
        <v>3</v>
      </c>
      <c r="B9" s="950" t="s">
        <v>5</v>
      </c>
      <c r="C9" s="951"/>
      <c r="D9" s="951"/>
      <c r="E9" s="952"/>
      <c r="F9" s="950" t="s">
        <v>7</v>
      </c>
      <c r="G9" s="951"/>
      <c r="H9" s="951"/>
      <c r="I9" s="952"/>
      <c r="J9" s="950" t="s">
        <v>306</v>
      </c>
      <c r="K9" s="951"/>
      <c r="L9" s="951"/>
      <c r="M9" s="952"/>
    </row>
    <row r="10" spans="1:13" ht="28.5" customHeight="1" x14ac:dyDescent="0.25">
      <c r="A10" s="949"/>
      <c r="B10" s="938" t="s">
        <v>327</v>
      </c>
      <c r="C10" s="938"/>
      <c r="D10" s="939" t="s">
        <v>333</v>
      </c>
      <c r="E10" s="940"/>
      <c r="F10" s="938" t="s">
        <v>327</v>
      </c>
      <c r="G10" s="938"/>
      <c r="H10" s="939" t="s">
        <v>333</v>
      </c>
      <c r="I10" s="940"/>
      <c r="J10" s="938" t="s">
        <v>327</v>
      </c>
      <c r="K10" s="938"/>
      <c r="L10" s="939" t="s">
        <v>333</v>
      </c>
      <c r="M10" s="940"/>
    </row>
    <row r="11" spans="1:13" s="675" customFormat="1" ht="45" x14ac:dyDescent="0.25">
      <c r="A11" s="949"/>
      <c r="B11" s="673" t="s">
        <v>307</v>
      </c>
      <c r="C11" s="639" t="s">
        <v>60</v>
      </c>
      <c r="D11" s="673" t="s">
        <v>307</v>
      </c>
      <c r="E11" s="674" t="s">
        <v>305</v>
      </c>
      <c r="F11" s="673" t="s">
        <v>308</v>
      </c>
      <c r="G11" s="443" t="s">
        <v>60</v>
      </c>
      <c r="H11" s="673" t="s">
        <v>308</v>
      </c>
      <c r="I11" s="674" t="s">
        <v>305</v>
      </c>
      <c r="J11" s="673" t="s">
        <v>309</v>
      </c>
      <c r="K11" s="639" t="s">
        <v>60</v>
      </c>
      <c r="L11" s="673" t="s">
        <v>309</v>
      </c>
      <c r="M11" s="674" t="s">
        <v>305</v>
      </c>
    </row>
    <row r="12" spans="1:13" x14ac:dyDescent="0.25">
      <c r="A12" s="676" t="s">
        <v>81</v>
      </c>
      <c r="B12" s="677">
        <f t="shared" ref="B12:M12" si="0">SUM(B13:B17)</f>
        <v>11749</v>
      </c>
      <c r="C12" s="678">
        <f t="shared" si="0"/>
        <v>176235000</v>
      </c>
      <c r="D12" s="677">
        <f t="shared" si="0"/>
        <v>12041</v>
      </c>
      <c r="E12" s="679">
        <f t="shared" si="0"/>
        <v>128204800</v>
      </c>
      <c r="F12" s="677">
        <f t="shared" si="0"/>
        <v>1240</v>
      </c>
      <c r="G12" s="678">
        <f t="shared" si="0"/>
        <v>12400000</v>
      </c>
      <c r="H12" s="677">
        <f t="shared" si="0"/>
        <v>388</v>
      </c>
      <c r="I12" s="678">
        <f t="shared" si="0"/>
        <v>2248000</v>
      </c>
      <c r="J12" s="677">
        <f t="shared" si="0"/>
        <v>9400</v>
      </c>
      <c r="K12" s="678">
        <f t="shared" si="0"/>
        <v>14664000</v>
      </c>
      <c r="L12" s="680">
        <f t="shared" si="0"/>
        <v>5106</v>
      </c>
      <c r="M12" s="678">
        <f t="shared" si="0"/>
        <v>1482780</v>
      </c>
    </row>
    <row r="13" spans="1:13" x14ac:dyDescent="0.25">
      <c r="A13" s="665" t="s">
        <v>159</v>
      </c>
      <c r="B13" s="424">
        <v>3746</v>
      </c>
      <c r="C13" s="412">
        <f t="shared" ref="C13:C17" si="1">B13*15000</f>
        <v>56190000</v>
      </c>
      <c r="D13" s="769">
        <v>3745</v>
      </c>
      <c r="E13" s="756">
        <v>40450600</v>
      </c>
      <c r="F13" s="383">
        <v>430</v>
      </c>
      <c r="G13" s="384">
        <f>F13*10000</f>
        <v>4300000</v>
      </c>
      <c r="H13" s="743">
        <v>192</v>
      </c>
      <c r="I13" s="744">
        <v>1125000</v>
      </c>
      <c r="J13" s="729">
        <v>2500</v>
      </c>
      <c r="K13" s="686">
        <f>J13*1560</f>
        <v>3900000</v>
      </c>
      <c r="L13" s="681">
        <v>2265</v>
      </c>
      <c r="M13" s="682">
        <v>559455</v>
      </c>
    </row>
    <row r="14" spans="1:13" x14ac:dyDescent="0.25">
      <c r="A14" s="665" t="s">
        <v>160</v>
      </c>
      <c r="B14" s="424">
        <v>815</v>
      </c>
      <c r="C14" s="412">
        <f t="shared" si="1"/>
        <v>12225000</v>
      </c>
      <c r="D14" s="769">
        <v>813</v>
      </c>
      <c r="E14" s="756">
        <v>9030900</v>
      </c>
      <c r="F14" s="383">
        <v>100</v>
      </c>
      <c r="G14" s="384">
        <f t="shared" ref="G14:G17" si="2">F14*10000</f>
        <v>1000000</v>
      </c>
      <c r="H14" s="743">
        <v>31</v>
      </c>
      <c r="I14" s="744">
        <v>155000</v>
      </c>
      <c r="J14" s="729">
        <v>1500</v>
      </c>
      <c r="K14" s="686">
        <f t="shared" ref="K14:K17" si="3">J14*1560</f>
        <v>2340000</v>
      </c>
      <c r="L14" s="681"/>
      <c r="M14" s="682"/>
    </row>
    <row r="15" spans="1:13" ht="30" x14ac:dyDescent="0.25">
      <c r="A15" s="665" t="s">
        <v>161</v>
      </c>
      <c r="B15" s="424">
        <v>2811</v>
      </c>
      <c r="C15" s="412">
        <f t="shared" si="1"/>
        <v>42165000</v>
      </c>
      <c r="D15" s="769">
        <v>2890</v>
      </c>
      <c r="E15" s="756">
        <v>29391800</v>
      </c>
      <c r="F15" s="383">
        <v>330</v>
      </c>
      <c r="G15" s="384">
        <f t="shared" si="2"/>
        <v>3300000</v>
      </c>
      <c r="H15" s="743">
        <v>22</v>
      </c>
      <c r="I15" s="744">
        <v>168000</v>
      </c>
      <c r="J15" s="729">
        <v>2500</v>
      </c>
      <c r="K15" s="686">
        <f t="shared" si="3"/>
        <v>3900000</v>
      </c>
      <c r="L15" s="681">
        <v>2841</v>
      </c>
      <c r="M15" s="682">
        <v>923325</v>
      </c>
    </row>
    <row r="16" spans="1:13" x14ac:dyDescent="0.25">
      <c r="A16" s="665" t="s">
        <v>162</v>
      </c>
      <c r="B16" s="424">
        <v>2980</v>
      </c>
      <c r="C16" s="412">
        <f t="shared" si="1"/>
        <v>44700000</v>
      </c>
      <c r="D16" s="769">
        <v>3126</v>
      </c>
      <c r="E16" s="756">
        <v>33197400</v>
      </c>
      <c r="F16" s="383">
        <v>200</v>
      </c>
      <c r="G16" s="384">
        <f t="shared" si="2"/>
        <v>2000000</v>
      </c>
      <c r="H16" s="743">
        <v>142</v>
      </c>
      <c r="I16" s="744">
        <v>790000</v>
      </c>
      <c r="J16" s="729">
        <v>1700</v>
      </c>
      <c r="K16" s="686">
        <f t="shared" si="3"/>
        <v>2652000</v>
      </c>
      <c r="L16" s="681"/>
      <c r="M16" s="682"/>
    </row>
    <row r="17" spans="1:13" x14ac:dyDescent="0.25">
      <c r="A17" s="665" t="s">
        <v>163</v>
      </c>
      <c r="B17" s="424">
        <v>1397</v>
      </c>
      <c r="C17" s="412">
        <f t="shared" si="1"/>
        <v>20955000</v>
      </c>
      <c r="D17" s="769">
        <v>1467</v>
      </c>
      <c r="E17" s="756">
        <v>16134100</v>
      </c>
      <c r="F17" s="383">
        <v>180</v>
      </c>
      <c r="G17" s="384">
        <f t="shared" si="2"/>
        <v>1800000</v>
      </c>
      <c r="H17" s="743">
        <v>1</v>
      </c>
      <c r="I17" s="744">
        <v>10000</v>
      </c>
      <c r="J17" s="729">
        <v>1200</v>
      </c>
      <c r="K17" s="686">
        <f t="shared" si="3"/>
        <v>1872000</v>
      </c>
      <c r="L17" s="681"/>
      <c r="M17" s="682"/>
    </row>
    <row r="19" spans="1:13" s="672" customFormat="1" ht="21.75" customHeight="1" x14ac:dyDescent="0.25">
      <c r="A19" s="949" t="s">
        <v>3</v>
      </c>
      <c r="B19" s="950" t="s">
        <v>16</v>
      </c>
      <c r="C19" s="951"/>
      <c r="D19" s="951"/>
      <c r="E19" s="952"/>
      <c r="F19" s="950" t="s">
        <v>421</v>
      </c>
      <c r="G19" s="951"/>
      <c r="H19" s="951"/>
      <c r="I19" s="952"/>
      <c r="J19" s="950" t="s">
        <v>329</v>
      </c>
      <c r="K19" s="951"/>
      <c r="L19" s="951"/>
      <c r="M19" s="952"/>
    </row>
    <row r="20" spans="1:13" ht="25.5" customHeight="1" x14ac:dyDescent="0.25">
      <c r="A20" s="949"/>
      <c r="B20" s="938" t="s">
        <v>327</v>
      </c>
      <c r="C20" s="938"/>
      <c r="D20" s="939" t="s">
        <v>333</v>
      </c>
      <c r="E20" s="940"/>
      <c r="F20" s="938" t="s">
        <v>327</v>
      </c>
      <c r="G20" s="938"/>
      <c r="H20" s="939" t="s">
        <v>333</v>
      </c>
      <c r="I20" s="940"/>
      <c r="J20" s="938" t="s">
        <v>327</v>
      </c>
      <c r="K20" s="938"/>
      <c r="L20" s="939" t="s">
        <v>333</v>
      </c>
      <c r="M20" s="940"/>
    </row>
    <row r="21" spans="1:13" ht="45" customHeight="1" x14ac:dyDescent="0.25">
      <c r="A21" s="949"/>
      <c r="B21" s="673" t="s">
        <v>330</v>
      </c>
      <c r="C21" s="639" t="s">
        <v>60</v>
      </c>
      <c r="D21" s="673" t="s">
        <v>330</v>
      </c>
      <c r="E21" s="674" t="s">
        <v>305</v>
      </c>
      <c r="F21" s="673" t="s">
        <v>253</v>
      </c>
      <c r="G21" s="443" t="s">
        <v>60</v>
      </c>
      <c r="H21" s="673" t="s">
        <v>253</v>
      </c>
      <c r="I21" s="639" t="s">
        <v>305</v>
      </c>
      <c r="J21" s="673" t="s">
        <v>310</v>
      </c>
      <c r="K21" s="639" t="s">
        <v>60</v>
      </c>
      <c r="L21" s="673" t="s">
        <v>310</v>
      </c>
      <c r="M21" s="674" t="s">
        <v>305</v>
      </c>
    </row>
    <row r="22" spans="1:13" x14ac:dyDescent="0.25">
      <c r="A22" s="676" t="s">
        <v>81</v>
      </c>
      <c r="B22" s="677">
        <f t="shared" ref="B22:M22" si="4">SUM(B23:B27)</f>
        <v>1805</v>
      </c>
      <c r="C22" s="678">
        <f t="shared" si="4"/>
        <v>10830000</v>
      </c>
      <c r="D22" s="677">
        <f t="shared" si="4"/>
        <v>3363</v>
      </c>
      <c r="E22" s="678">
        <f t="shared" si="4"/>
        <v>10089000</v>
      </c>
      <c r="F22" s="677">
        <f t="shared" si="4"/>
        <v>13</v>
      </c>
      <c r="G22" s="678">
        <f t="shared" si="4"/>
        <v>16875000</v>
      </c>
      <c r="H22" s="677">
        <f t="shared" si="4"/>
        <v>0</v>
      </c>
      <c r="I22" s="678">
        <f t="shared" si="4"/>
        <v>0</v>
      </c>
      <c r="J22" s="677">
        <f t="shared" si="4"/>
        <v>0</v>
      </c>
      <c r="K22" s="678">
        <f t="shared" si="4"/>
        <v>0</v>
      </c>
      <c r="L22" s="680">
        <f t="shared" si="4"/>
        <v>1902</v>
      </c>
      <c r="M22" s="678">
        <f t="shared" si="4"/>
        <v>6715800</v>
      </c>
    </row>
    <row r="23" spans="1:13" x14ac:dyDescent="0.25">
      <c r="A23" s="665" t="s">
        <v>159</v>
      </c>
      <c r="B23" s="729">
        <v>369</v>
      </c>
      <c r="C23" s="686">
        <f t="shared" ref="C23:C27" si="5">B23*500*12</f>
        <v>2214000</v>
      </c>
      <c r="D23" s="30">
        <v>629</v>
      </c>
      <c r="E23" s="384">
        <f>D23*3000</f>
        <v>1887000</v>
      </c>
      <c r="F23" s="383">
        <f>4</f>
        <v>4</v>
      </c>
      <c r="G23" s="384">
        <v>2750000</v>
      </c>
      <c r="H23" s="30"/>
      <c r="I23" s="384"/>
      <c r="J23" s="685"/>
      <c r="K23" s="686"/>
      <c r="L23" s="739">
        <v>226</v>
      </c>
      <c r="M23" s="740">
        <v>743800</v>
      </c>
    </row>
    <row r="24" spans="1:13" x14ac:dyDescent="0.25">
      <c r="A24" s="665" t="s">
        <v>160</v>
      </c>
      <c r="B24" s="729">
        <v>313</v>
      </c>
      <c r="C24" s="686">
        <f t="shared" si="5"/>
        <v>1878000</v>
      </c>
      <c r="D24" s="30">
        <v>449</v>
      </c>
      <c r="E24" s="384">
        <f t="shared" ref="E24:E27" si="6">D24*3000</f>
        <v>1347000</v>
      </c>
      <c r="F24" s="383">
        <v>3</v>
      </c>
      <c r="G24" s="384">
        <v>3500000</v>
      </c>
      <c r="H24" s="30"/>
      <c r="I24" s="384"/>
      <c r="J24" s="685"/>
      <c r="K24" s="686"/>
      <c r="L24" s="739">
        <v>137</v>
      </c>
      <c r="M24" s="740">
        <v>513000</v>
      </c>
    </row>
    <row r="25" spans="1:13" ht="30" x14ac:dyDescent="0.25">
      <c r="A25" s="665" t="s">
        <v>161</v>
      </c>
      <c r="B25" s="729">
        <v>350</v>
      </c>
      <c r="C25" s="686">
        <f t="shared" si="5"/>
        <v>2100000</v>
      </c>
      <c r="D25" s="30">
        <v>602</v>
      </c>
      <c r="E25" s="384">
        <f t="shared" si="6"/>
        <v>1806000</v>
      </c>
      <c r="F25" s="383">
        <v>2</v>
      </c>
      <c r="G25" s="384">
        <f>1500000+3550000</f>
        <v>5050000</v>
      </c>
      <c r="H25" s="30"/>
      <c r="I25" s="384"/>
      <c r="J25" s="685"/>
      <c r="K25" s="686"/>
      <c r="L25" s="739">
        <v>952</v>
      </c>
      <c r="M25" s="740">
        <v>3434500</v>
      </c>
    </row>
    <row r="26" spans="1:13" x14ac:dyDescent="0.25">
      <c r="A26" s="665" t="s">
        <v>162</v>
      </c>
      <c r="B26" s="729">
        <v>456</v>
      </c>
      <c r="C26" s="686">
        <f t="shared" si="5"/>
        <v>2736000</v>
      </c>
      <c r="D26" s="30">
        <v>943</v>
      </c>
      <c r="E26" s="384">
        <f t="shared" si="6"/>
        <v>2829000</v>
      </c>
      <c r="F26" s="383">
        <v>2</v>
      </c>
      <c r="G26" s="384">
        <f>3000000+500000</f>
        <v>3500000</v>
      </c>
      <c r="H26" s="30"/>
      <c r="I26" s="384"/>
      <c r="J26" s="685"/>
      <c r="K26" s="686"/>
      <c r="L26" s="739">
        <v>447</v>
      </c>
      <c r="M26" s="740">
        <v>1567000</v>
      </c>
    </row>
    <row r="27" spans="1:13" x14ac:dyDescent="0.25">
      <c r="A27" s="665" t="s">
        <v>163</v>
      </c>
      <c r="B27" s="729">
        <v>317</v>
      </c>
      <c r="C27" s="686">
        <f t="shared" si="5"/>
        <v>1902000</v>
      </c>
      <c r="D27" s="30">
        <v>740</v>
      </c>
      <c r="E27" s="384">
        <f t="shared" si="6"/>
        <v>2220000</v>
      </c>
      <c r="F27" s="383">
        <v>2</v>
      </c>
      <c r="G27" s="384">
        <f>1620000+455000</f>
        <v>2075000</v>
      </c>
      <c r="H27" s="30"/>
      <c r="I27" s="384"/>
      <c r="J27" s="685"/>
      <c r="K27" s="686"/>
      <c r="L27" s="739">
        <v>140</v>
      </c>
      <c r="M27" s="740">
        <v>457500</v>
      </c>
    </row>
    <row r="29" spans="1:13" s="672" customFormat="1" ht="28.5" customHeight="1" x14ac:dyDescent="0.25">
      <c r="A29" s="949" t="s">
        <v>3</v>
      </c>
      <c r="B29" s="950" t="s">
        <v>331</v>
      </c>
      <c r="C29" s="951"/>
      <c r="D29" s="951"/>
      <c r="E29" s="952"/>
      <c r="F29" s="950" t="s">
        <v>375</v>
      </c>
      <c r="G29" s="951"/>
      <c r="H29" s="951"/>
      <c r="I29" s="952"/>
      <c r="J29" s="950" t="s">
        <v>386</v>
      </c>
      <c r="K29" s="951"/>
      <c r="L29" s="951"/>
      <c r="M29" s="952"/>
    </row>
    <row r="30" spans="1:13" ht="24.75" customHeight="1" x14ac:dyDescent="0.25">
      <c r="A30" s="949"/>
      <c r="B30" s="938" t="s">
        <v>327</v>
      </c>
      <c r="C30" s="938"/>
      <c r="D30" s="939" t="s">
        <v>333</v>
      </c>
      <c r="E30" s="940"/>
      <c r="F30" s="938" t="s">
        <v>327</v>
      </c>
      <c r="G30" s="938"/>
      <c r="H30" s="939" t="s">
        <v>333</v>
      </c>
      <c r="I30" s="940"/>
      <c r="J30" s="938" t="s">
        <v>327</v>
      </c>
      <c r="K30" s="938"/>
      <c r="L30" s="939" t="s">
        <v>333</v>
      </c>
      <c r="M30" s="940"/>
    </row>
    <row r="31" spans="1:13" ht="45" customHeight="1" x14ac:dyDescent="0.25">
      <c r="A31" s="949"/>
      <c r="B31" s="673" t="s">
        <v>308</v>
      </c>
      <c r="C31" s="639" t="s">
        <v>60</v>
      </c>
      <c r="D31" s="673" t="s">
        <v>332</v>
      </c>
      <c r="E31" s="674" t="s">
        <v>305</v>
      </c>
      <c r="F31" s="673" t="s">
        <v>308</v>
      </c>
      <c r="G31" s="443" t="s">
        <v>60</v>
      </c>
      <c r="H31" s="673" t="s">
        <v>253</v>
      </c>
      <c r="I31" s="674" t="s">
        <v>305</v>
      </c>
      <c r="J31" s="673" t="s">
        <v>308</v>
      </c>
      <c r="K31" s="639" t="s">
        <v>60</v>
      </c>
      <c r="L31" s="673" t="s">
        <v>332</v>
      </c>
      <c r="M31" s="674" t="s">
        <v>305</v>
      </c>
    </row>
    <row r="32" spans="1:13" x14ac:dyDescent="0.25">
      <c r="A32" s="676" t="s">
        <v>81</v>
      </c>
      <c r="B32" s="677">
        <f t="shared" ref="B32:I32" si="7">SUM(B33:B38)</f>
        <v>0</v>
      </c>
      <c r="C32" s="678">
        <f t="shared" si="7"/>
        <v>0</v>
      </c>
      <c r="D32" s="677">
        <f t="shared" si="7"/>
        <v>26</v>
      </c>
      <c r="E32" s="678">
        <f t="shared" si="7"/>
        <v>108500</v>
      </c>
      <c r="F32" s="677">
        <f t="shared" si="7"/>
        <v>0</v>
      </c>
      <c r="G32" s="678">
        <f t="shared" si="7"/>
        <v>0</v>
      </c>
      <c r="H32" s="677">
        <f t="shared" si="7"/>
        <v>0</v>
      </c>
      <c r="I32" s="678">
        <f t="shared" si="7"/>
        <v>0</v>
      </c>
      <c r="J32" s="677">
        <f>SUM(F33:F38)</f>
        <v>0</v>
      </c>
      <c r="K32" s="678">
        <f>SUM(G33:G38)</f>
        <v>0</v>
      </c>
      <c r="L32" s="687">
        <f>SUM(L33:L37)</f>
        <v>0</v>
      </c>
      <c r="M32" s="687">
        <f>SUM(M33:M37)</f>
        <v>0</v>
      </c>
    </row>
    <row r="33" spans="1:13" x14ac:dyDescent="0.25">
      <c r="A33" s="665" t="s">
        <v>159</v>
      </c>
      <c r="B33" s="673"/>
      <c r="C33" s="674"/>
      <c r="D33" s="739"/>
      <c r="E33" s="740"/>
      <c r="F33" s="689"/>
      <c r="G33" s="689"/>
      <c r="H33" s="689"/>
      <c r="I33" s="682"/>
      <c r="J33" s="673"/>
      <c r="K33" s="674"/>
      <c r="L33" s="688"/>
      <c r="M33" s="674"/>
    </row>
    <row r="34" spans="1:13" x14ac:dyDescent="0.25">
      <c r="A34" s="665" t="s">
        <v>160</v>
      </c>
      <c r="B34" s="673"/>
      <c r="C34" s="674"/>
      <c r="D34" s="739">
        <v>2</v>
      </c>
      <c r="E34" s="740">
        <v>6000</v>
      </c>
      <c r="F34" s="689"/>
      <c r="G34" s="689"/>
      <c r="H34" s="689"/>
      <c r="I34" s="682"/>
      <c r="J34" s="673"/>
      <c r="K34" s="674"/>
      <c r="L34" s="688"/>
      <c r="M34" s="674"/>
    </row>
    <row r="35" spans="1:13" ht="30" x14ac:dyDescent="0.25">
      <c r="A35" s="665" t="s">
        <v>161</v>
      </c>
      <c r="B35" s="673"/>
      <c r="C35" s="674"/>
      <c r="D35" s="739">
        <v>19</v>
      </c>
      <c r="E35" s="740">
        <v>80500</v>
      </c>
      <c r="F35" s="689"/>
      <c r="G35" s="689"/>
      <c r="H35" s="689"/>
      <c r="I35" s="682"/>
      <c r="J35" s="673"/>
      <c r="K35" s="674"/>
      <c r="L35" s="688"/>
      <c r="M35" s="674"/>
    </row>
    <row r="36" spans="1:13" x14ac:dyDescent="0.25">
      <c r="A36" s="665" t="s">
        <v>162</v>
      </c>
      <c r="B36" s="673"/>
      <c r="C36" s="674"/>
      <c r="D36" s="739">
        <v>5</v>
      </c>
      <c r="E36" s="740">
        <v>22000</v>
      </c>
      <c r="F36" s="689"/>
      <c r="G36" s="689"/>
      <c r="H36" s="689"/>
      <c r="I36" s="682"/>
      <c r="J36" s="673"/>
      <c r="K36" s="674"/>
      <c r="L36" s="688"/>
      <c r="M36" s="674"/>
    </row>
    <row r="37" spans="1:13" x14ac:dyDescent="0.25">
      <c r="A37" s="665" t="s">
        <v>163</v>
      </c>
      <c r="B37" s="673"/>
      <c r="C37" s="674"/>
      <c r="D37" s="739"/>
      <c r="E37" s="740"/>
      <c r="F37" s="689"/>
      <c r="G37" s="689"/>
      <c r="H37" s="689"/>
      <c r="I37" s="682"/>
      <c r="J37" s="673"/>
      <c r="K37" s="674"/>
      <c r="L37" s="688"/>
      <c r="M37" s="674"/>
    </row>
    <row r="40" spans="1:13" x14ac:dyDescent="0.25">
      <c r="A40" s="949" t="s">
        <v>3</v>
      </c>
      <c r="B40" s="950" t="s">
        <v>419</v>
      </c>
      <c r="C40" s="951"/>
      <c r="D40" s="951"/>
      <c r="E40" s="952"/>
      <c r="F40" s="950" t="s">
        <v>81</v>
      </c>
      <c r="G40" s="951"/>
      <c r="H40" s="951"/>
      <c r="I40" s="952"/>
    </row>
    <row r="41" spans="1:13" x14ac:dyDescent="0.25">
      <c r="A41" s="949"/>
      <c r="B41" s="938" t="s">
        <v>327</v>
      </c>
      <c r="C41" s="938"/>
      <c r="D41" s="939" t="s">
        <v>333</v>
      </c>
      <c r="E41" s="940"/>
      <c r="F41" s="941" t="s">
        <v>60</v>
      </c>
      <c r="G41" s="942"/>
      <c r="H41" s="941" t="s">
        <v>305</v>
      </c>
      <c r="I41" s="942"/>
    </row>
    <row r="42" spans="1:13" ht="45" x14ac:dyDescent="0.25">
      <c r="A42" s="949"/>
      <c r="B42" s="673" t="s">
        <v>308</v>
      </c>
      <c r="C42" s="639" t="s">
        <v>60</v>
      </c>
      <c r="D42" s="673" t="s">
        <v>332</v>
      </c>
      <c r="E42" s="674" t="s">
        <v>305</v>
      </c>
      <c r="F42" s="943"/>
      <c r="G42" s="944"/>
      <c r="H42" s="943"/>
      <c r="I42" s="944"/>
    </row>
    <row r="43" spans="1:13" x14ac:dyDescent="0.25">
      <c r="A43" s="676" t="s">
        <v>81</v>
      </c>
      <c r="B43" s="677">
        <f>SUM(B44:B48)</f>
        <v>0</v>
      </c>
      <c r="C43" s="687">
        <f>SUM(C44:C48)</f>
        <v>0</v>
      </c>
      <c r="D43" s="677">
        <f>SUM(D44:D48)</f>
        <v>0</v>
      </c>
      <c r="E43" s="687">
        <f>SUM(E44:E48)</f>
        <v>0</v>
      </c>
      <c r="F43" s="945">
        <f>SUM(F44:G48)</f>
        <v>43939000</v>
      </c>
      <c r="G43" s="946"/>
      <c r="H43" s="945">
        <f>E12+I12+M12+E22+I22+M22+E32+I32+E43+M32</f>
        <v>148848880</v>
      </c>
      <c r="I43" s="946"/>
    </row>
    <row r="44" spans="1:13" x14ac:dyDescent="0.25">
      <c r="A44" s="665" t="s">
        <v>159</v>
      </c>
      <c r="B44" s="673"/>
      <c r="C44" s="674"/>
      <c r="D44" s="688"/>
      <c r="E44" s="674"/>
      <c r="F44" s="902">
        <f>G13+K13+O13+G23+K23+O23+K33+G33+C44</f>
        <v>10950000</v>
      </c>
      <c r="G44" s="903"/>
      <c r="H44" s="945">
        <f t="shared" ref="H44:H47" si="8">E13+I13+M13+E23+I23+M23+E33+I33+E44+M33</f>
        <v>44765855</v>
      </c>
      <c r="I44" s="946"/>
    </row>
    <row r="45" spans="1:13" x14ac:dyDescent="0.25">
      <c r="A45" s="665" t="s">
        <v>160</v>
      </c>
      <c r="B45" s="673"/>
      <c r="C45" s="674"/>
      <c r="D45" s="688"/>
      <c r="E45" s="674"/>
      <c r="F45" s="902">
        <f t="shared" ref="F45:F48" si="9">G14+K14+O14+G24+K24+O24+K34+G34+C45</f>
        <v>6840000</v>
      </c>
      <c r="G45" s="903"/>
      <c r="H45" s="945">
        <f t="shared" si="8"/>
        <v>11051900</v>
      </c>
      <c r="I45" s="946"/>
    </row>
    <row r="46" spans="1:13" ht="30" x14ac:dyDescent="0.25">
      <c r="A46" s="665" t="s">
        <v>161</v>
      </c>
      <c r="B46" s="673"/>
      <c r="C46" s="674"/>
      <c r="D46" s="688"/>
      <c r="E46" s="674"/>
      <c r="F46" s="902">
        <f t="shared" si="9"/>
        <v>12250000</v>
      </c>
      <c r="G46" s="903"/>
      <c r="H46" s="945">
        <f t="shared" si="8"/>
        <v>35804125</v>
      </c>
      <c r="I46" s="946"/>
    </row>
    <row r="47" spans="1:13" x14ac:dyDescent="0.25">
      <c r="A47" s="665" t="s">
        <v>162</v>
      </c>
      <c r="B47" s="673"/>
      <c r="C47" s="674"/>
      <c r="D47" s="688"/>
      <c r="E47" s="674"/>
      <c r="F47" s="902">
        <f t="shared" si="9"/>
        <v>8152000</v>
      </c>
      <c r="G47" s="903"/>
      <c r="H47" s="945">
        <f t="shared" si="8"/>
        <v>38405400</v>
      </c>
      <c r="I47" s="946"/>
    </row>
    <row r="48" spans="1:13" x14ac:dyDescent="0.25">
      <c r="A48" s="665" t="s">
        <v>163</v>
      </c>
      <c r="B48" s="673"/>
      <c r="C48" s="674"/>
      <c r="D48" s="688"/>
      <c r="E48" s="674"/>
      <c r="F48" s="902">
        <f t="shared" si="9"/>
        <v>5747000</v>
      </c>
      <c r="G48" s="903"/>
      <c r="H48" s="945">
        <f>E17+I17+M17+E27+I27+M27+E37+I37+E48+M37</f>
        <v>18821600</v>
      </c>
      <c r="I48" s="946"/>
    </row>
  </sheetData>
  <mergeCells count="54">
    <mergeCell ref="F48:G48"/>
    <mergeCell ref="H48:I48"/>
    <mergeCell ref="J30:K30"/>
    <mergeCell ref="L30:M30"/>
    <mergeCell ref="F44:G44"/>
    <mergeCell ref="H44:I44"/>
    <mergeCell ref="F41:G42"/>
    <mergeCell ref="H41:I42"/>
    <mergeCell ref="F43:G43"/>
    <mergeCell ref="H43:I43"/>
    <mergeCell ref="F45:G45"/>
    <mergeCell ref="H45:I45"/>
    <mergeCell ref="F46:G46"/>
    <mergeCell ref="H46:I46"/>
    <mergeCell ref="F47:G47"/>
    <mergeCell ref="H47:I47"/>
    <mergeCell ref="H20:I20"/>
    <mergeCell ref="J20:K20"/>
    <mergeCell ref="L20:M20"/>
    <mergeCell ref="A29:A31"/>
    <mergeCell ref="B29:E29"/>
    <mergeCell ref="J29:M29"/>
    <mergeCell ref="B30:C30"/>
    <mergeCell ref="D30:E30"/>
    <mergeCell ref="A19:A21"/>
    <mergeCell ref="B19:E19"/>
    <mergeCell ref="F19:I19"/>
    <mergeCell ref="J19:M19"/>
    <mergeCell ref="B20:C20"/>
    <mergeCell ref="D20:E20"/>
    <mergeCell ref="F20:G20"/>
    <mergeCell ref="J10:K10"/>
    <mergeCell ref="L10:M10"/>
    <mergeCell ref="A1:M1"/>
    <mergeCell ref="A2:M2"/>
    <mergeCell ref="A3:M3"/>
    <mergeCell ref="A5:M5"/>
    <mergeCell ref="A6:M6"/>
    <mergeCell ref="A9:A11"/>
    <mergeCell ref="B9:E9"/>
    <mergeCell ref="F9:I9"/>
    <mergeCell ref="J9:M9"/>
    <mergeCell ref="B10:C10"/>
    <mergeCell ref="D10:E10"/>
    <mergeCell ref="F10:G10"/>
    <mergeCell ref="H10:I10"/>
    <mergeCell ref="A40:A42"/>
    <mergeCell ref="F29:I29"/>
    <mergeCell ref="F30:G30"/>
    <mergeCell ref="H30:I30"/>
    <mergeCell ref="B40:E40"/>
    <mergeCell ref="B41:C41"/>
    <mergeCell ref="D41:E41"/>
    <mergeCell ref="F40:I40"/>
  </mergeCells>
  <pageMargins left="1.1499999999999999" right="0.15748031496063" top="0.54" bottom="0.74803149606299202" header="0.78740157480314998" footer="0.31496062992126"/>
  <pageSetup paperSize="9" scale="8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28"/>
  <sheetViews>
    <sheetView topLeftCell="A102" workbookViewId="0">
      <selection activeCell="H49" sqref="H49"/>
    </sheetView>
  </sheetViews>
  <sheetFormatPr defaultRowHeight="15" x14ac:dyDescent="0.25"/>
  <cols>
    <col min="1" max="1" width="30.85546875" customWidth="1"/>
    <col min="2" max="2" width="42" customWidth="1"/>
    <col min="3" max="3" width="15.140625" customWidth="1"/>
    <col min="4" max="4" width="16.7109375" customWidth="1"/>
    <col min="5" max="5" width="12.140625" customWidth="1"/>
    <col min="6" max="6" width="18.5703125" customWidth="1"/>
    <col min="7" max="7" width="11.140625" customWidth="1"/>
    <col min="8" max="8" width="18.140625" customWidth="1"/>
    <col min="9" max="9" width="11.140625" customWidth="1"/>
    <col min="10" max="10" width="18.140625" customWidth="1"/>
  </cols>
  <sheetData>
    <row r="1" spans="1:10" x14ac:dyDescent="0.25">
      <c r="A1" s="858" t="s">
        <v>39</v>
      </c>
      <c r="B1" s="858"/>
      <c r="C1" s="858"/>
      <c r="D1" s="858"/>
      <c r="E1" s="858"/>
      <c r="F1" s="858"/>
      <c r="G1" s="858"/>
      <c r="H1" s="858"/>
      <c r="I1" s="858"/>
      <c r="J1" s="858"/>
    </row>
    <row r="2" spans="1:10" x14ac:dyDescent="0.25">
      <c r="A2" s="858" t="s">
        <v>40</v>
      </c>
      <c r="B2" s="858"/>
      <c r="C2" s="858"/>
      <c r="D2" s="858"/>
      <c r="E2" s="858"/>
      <c r="F2" s="858"/>
      <c r="G2" s="858"/>
      <c r="H2" s="858"/>
      <c r="I2" s="858"/>
      <c r="J2" s="858"/>
    </row>
    <row r="3" spans="1:10" x14ac:dyDescent="0.25">
      <c r="A3" s="76"/>
      <c r="B3" s="76"/>
      <c r="C3" s="76"/>
      <c r="D3" s="76"/>
      <c r="E3" s="76"/>
      <c r="F3" s="76"/>
      <c r="G3" s="76"/>
      <c r="H3" s="76"/>
      <c r="I3" s="389"/>
      <c r="J3" s="389"/>
    </row>
    <row r="4" spans="1:10" s="414" customFormat="1" ht="21" x14ac:dyDescent="0.35">
      <c r="A4" s="866" t="s">
        <v>316</v>
      </c>
      <c r="B4" s="866"/>
      <c r="C4" s="866"/>
      <c r="D4" s="866"/>
      <c r="E4" s="866"/>
      <c r="F4" s="866"/>
      <c r="G4" s="866"/>
      <c r="H4" s="866"/>
      <c r="I4" s="866"/>
      <c r="J4" s="866"/>
    </row>
    <row r="5" spans="1:10" s="48" customFormat="1" x14ac:dyDescent="0.25"/>
    <row r="6" spans="1:10" s="3" customFormat="1" ht="15" customHeight="1" x14ac:dyDescent="0.25">
      <c r="A6" s="859" t="s">
        <v>0</v>
      </c>
      <c r="B6" s="860" t="s">
        <v>51</v>
      </c>
      <c r="C6" s="859" t="s">
        <v>4</v>
      </c>
      <c r="D6" s="862" t="s">
        <v>3</v>
      </c>
      <c r="E6" s="864" t="s">
        <v>324</v>
      </c>
      <c r="F6" s="865"/>
      <c r="G6" s="864" t="s">
        <v>315</v>
      </c>
      <c r="H6" s="865"/>
      <c r="I6" s="864" t="s">
        <v>325</v>
      </c>
      <c r="J6" s="865"/>
    </row>
    <row r="7" spans="1:10" s="3" customFormat="1" ht="21" customHeight="1" x14ac:dyDescent="0.25">
      <c r="A7" s="859"/>
      <c r="B7" s="861"/>
      <c r="C7" s="859"/>
      <c r="D7" s="863"/>
      <c r="E7" s="392" t="s">
        <v>48</v>
      </c>
      <c r="F7" s="391" t="s">
        <v>1</v>
      </c>
      <c r="G7" s="219" t="s">
        <v>48</v>
      </c>
      <c r="H7" s="219" t="s">
        <v>60</v>
      </c>
      <c r="I7" s="393" t="s">
        <v>48</v>
      </c>
      <c r="J7" s="393" t="s">
        <v>60</v>
      </c>
    </row>
    <row r="8" spans="1:10" s="12" customFormat="1" ht="20.25" customHeight="1" x14ac:dyDescent="0.25">
      <c r="A8" s="10" t="s">
        <v>14</v>
      </c>
      <c r="B8" s="10"/>
      <c r="C8" s="11"/>
      <c r="D8" s="11"/>
      <c r="E8" s="14"/>
      <c r="F8" s="121">
        <f>F10+F20+F30+F49+F59+F69+F79+F91+F101</f>
        <v>124904009.08</v>
      </c>
      <c r="G8" s="11"/>
      <c r="H8" s="121">
        <f>H10+H20+H30+H49+H59+H69+H79+H91+H101+H114</f>
        <v>151011640</v>
      </c>
      <c r="I8" s="11"/>
      <c r="J8" s="121">
        <f>J10+J20+J30+J49+J59+J69+J79+J91+J101+J114</f>
        <v>32892900</v>
      </c>
    </row>
    <row r="9" spans="1:10" s="8" customFormat="1" ht="8.25" customHeight="1" x14ac:dyDescent="0.25">
      <c r="A9" s="7"/>
      <c r="B9" s="7"/>
      <c r="C9" s="7"/>
      <c r="D9" s="7"/>
      <c r="E9" s="7"/>
      <c r="F9" s="7"/>
      <c r="G9" s="7"/>
      <c r="H9" s="7"/>
      <c r="I9" s="7"/>
      <c r="J9" s="7"/>
    </row>
    <row r="10" spans="1:10" s="3" customFormat="1" ht="27.75" customHeight="1" x14ac:dyDescent="0.25">
      <c r="A10" s="869" t="s">
        <v>5</v>
      </c>
      <c r="B10" s="867" t="s">
        <v>50</v>
      </c>
      <c r="C10" s="871" t="s">
        <v>21</v>
      </c>
      <c r="D10" s="70" t="s">
        <v>82</v>
      </c>
      <c r="E10" s="70">
        <f t="shared" ref="E10:J10" si="0">SUM(E11:E18)</f>
        <v>7875</v>
      </c>
      <c r="F10" s="71">
        <f t="shared" si="0"/>
        <v>85384600</v>
      </c>
      <c r="G10" s="70">
        <f t="shared" si="0"/>
        <v>7932</v>
      </c>
      <c r="H10" s="71">
        <f t="shared" si="0"/>
        <v>118980000</v>
      </c>
      <c r="I10" s="70">
        <f t="shared" si="0"/>
        <v>7738</v>
      </c>
      <c r="J10" s="71">
        <f t="shared" si="0"/>
        <v>32866400</v>
      </c>
    </row>
    <row r="11" spans="1:10" s="3" customFormat="1" ht="21.75" customHeight="1" x14ac:dyDescent="0.25">
      <c r="A11" s="870"/>
      <c r="B11" s="868"/>
      <c r="C11" s="872"/>
      <c r="D11" s="4" t="s">
        <v>83</v>
      </c>
      <c r="E11" s="30">
        <v>935</v>
      </c>
      <c r="F11" s="31">
        <v>10554700</v>
      </c>
      <c r="G11" s="4">
        <v>950</v>
      </c>
      <c r="H11" s="17">
        <v>14250000</v>
      </c>
      <c r="I11" s="411">
        <v>926</v>
      </c>
      <c r="J11" s="412">
        <f>'[1]updated may 7_FMS'!I12</f>
        <v>4147700</v>
      </c>
    </row>
    <row r="12" spans="1:10" s="2" customFormat="1" ht="14.25" customHeight="1" x14ac:dyDescent="0.25">
      <c r="A12" s="870"/>
      <c r="B12" s="868"/>
      <c r="C12" s="872"/>
      <c r="D12" s="4" t="s">
        <v>84</v>
      </c>
      <c r="E12" s="30">
        <v>1229</v>
      </c>
      <c r="F12" s="31">
        <v>14060400</v>
      </c>
      <c r="G12" s="4">
        <v>1236</v>
      </c>
      <c r="H12" s="17">
        <v>18540000</v>
      </c>
      <c r="I12" s="411">
        <v>1206</v>
      </c>
      <c r="J12" s="412">
        <f>'[1]updated may 7_FMS'!I13</f>
        <v>5088200</v>
      </c>
    </row>
    <row r="13" spans="1:10" s="2" customFormat="1" ht="14.25" customHeight="1" x14ac:dyDescent="0.25">
      <c r="A13" s="870"/>
      <c r="B13" s="868"/>
      <c r="C13" s="872"/>
      <c r="D13" s="4" t="s">
        <v>85</v>
      </c>
      <c r="E13" s="30">
        <v>811</v>
      </c>
      <c r="F13" s="31">
        <v>7908000</v>
      </c>
      <c r="G13" s="4">
        <v>817</v>
      </c>
      <c r="H13" s="17">
        <v>12255000</v>
      </c>
      <c r="I13" s="411">
        <v>794</v>
      </c>
      <c r="J13" s="412">
        <f>'[1]updated may 7_FMS'!I14</f>
        <v>3257700</v>
      </c>
    </row>
    <row r="14" spans="1:10" s="2" customFormat="1" ht="14.25" customHeight="1" x14ac:dyDescent="0.25">
      <c r="A14" s="870"/>
      <c r="B14" s="868"/>
      <c r="C14" s="872"/>
      <c r="D14" s="4" t="s">
        <v>86</v>
      </c>
      <c r="E14" s="30">
        <v>495</v>
      </c>
      <c r="F14" s="31">
        <v>4196800</v>
      </c>
      <c r="G14" s="4">
        <v>502</v>
      </c>
      <c r="H14" s="17">
        <v>7530000</v>
      </c>
      <c r="I14" s="411">
        <v>489</v>
      </c>
      <c r="J14" s="412">
        <f>'[1]updated may 7_FMS'!I15</f>
        <v>1963100</v>
      </c>
    </row>
    <row r="15" spans="1:10" s="2" customFormat="1" ht="14.25" customHeight="1" x14ac:dyDescent="0.25">
      <c r="A15" s="870"/>
      <c r="B15" s="868"/>
      <c r="C15" s="872"/>
      <c r="D15" s="4" t="s">
        <v>87</v>
      </c>
      <c r="E15" s="30">
        <v>811</v>
      </c>
      <c r="F15" s="31">
        <v>8939100</v>
      </c>
      <c r="G15" s="4">
        <v>801</v>
      </c>
      <c r="H15" s="17">
        <v>12015000</v>
      </c>
      <c r="I15" s="411">
        <v>784</v>
      </c>
      <c r="J15" s="412">
        <f>'[1]updated may 7_FMS'!I16</f>
        <v>3349600</v>
      </c>
    </row>
    <row r="16" spans="1:10" s="2" customFormat="1" ht="14.25" customHeight="1" x14ac:dyDescent="0.25">
      <c r="A16" s="870"/>
      <c r="B16" s="868"/>
      <c r="C16" s="872"/>
      <c r="D16" s="4" t="s">
        <v>88</v>
      </c>
      <c r="E16" s="30">
        <v>1057</v>
      </c>
      <c r="F16" s="31">
        <v>11755600</v>
      </c>
      <c r="G16" s="4">
        <v>1073</v>
      </c>
      <c r="H16" s="17">
        <v>16095000</v>
      </c>
      <c r="I16" s="411">
        <v>1039</v>
      </c>
      <c r="J16" s="412">
        <f>'[1]updated may 7_FMS'!I17</f>
        <v>4410100</v>
      </c>
    </row>
    <row r="17" spans="1:10" s="2" customFormat="1" ht="14.25" customHeight="1" x14ac:dyDescent="0.25">
      <c r="A17" s="870"/>
      <c r="B17" s="868"/>
      <c r="C17" s="872"/>
      <c r="D17" s="4" t="s">
        <v>89</v>
      </c>
      <c r="E17" s="30">
        <v>1451</v>
      </c>
      <c r="F17" s="31">
        <v>15856600</v>
      </c>
      <c r="G17" s="4">
        <v>1463</v>
      </c>
      <c r="H17" s="17">
        <v>21945000</v>
      </c>
      <c r="I17" s="411">
        <v>1432</v>
      </c>
      <c r="J17" s="412">
        <f>'[1]updated may 7_FMS'!I18</f>
        <v>6082500</v>
      </c>
    </row>
    <row r="18" spans="1:10" s="2" customFormat="1" ht="14.25" customHeight="1" x14ac:dyDescent="0.25">
      <c r="A18" s="870"/>
      <c r="B18" s="868"/>
      <c r="C18" s="872"/>
      <c r="D18" s="4" t="s">
        <v>90</v>
      </c>
      <c r="E18" s="30">
        <v>1086</v>
      </c>
      <c r="F18" s="31">
        <v>12113400</v>
      </c>
      <c r="G18" s="4">
        <v>1090</v>
      </c>
      <c r="H18" s="17">
        <v>16350000</v>
      </c>
      <c r="I18" s="411">
        <v>1068</v>
      </c>
      <c r="J18" s="412">
        <f>'[1]updated may 7_FMS'!I19</f>
        <v>4567500</v>
      </c>
    </row>
    <row r="19" spans="1:10" s="8" customFormat="1" ht="8.25" customHeight="1" x14ac:dyDescent="0.25">
      <c r="A19" s="7"/>
      <c r="B19" s="7"/>
      <c r="C19" s="7"/>
      <c r="D19" s="7"/>
      <c r="E19" s="7"/>
      <c r="F19" s="7"/>
      <c r="G19" s="7"/>
      <c r="H19" s="7"/>
      <c r="I19" s="7"/>
      <c r="J19" s="7"/>
    </row>
    <row r="20" spans="1:10" s="9" customFormat="1" ht="27" customHeight="1" x14ac:dyDescent="0.25">
      <c r="A20" s="869" t="s">
        <v>61</v>
      </c>
      <c r="B20" s="867" t="s">
        <v>62</v>
      </c>
      <c r="C20" s="871" t="s">
        <v>21</v>
      </c>
      <c r="D20" s="70" t="s">
        <v>82</v>
      </c>
      <c r="E20" s="70">
        <f t="shared" ref="E20:J20" si="1">SUM(E21:E28)</f>
        <v>280</v>
      </c>
      <c r="F20" s="71">
        <f t="shared" si="1"/>
        <v>1477800</v>
      </c>
      <c r="G20" s="70">
        <f t="shared" si="1"/>
        <v>0</v>
      </c>
      <c r="H20" s="71">
        <f t="shared" si="1"/>
        <v>0</v>
      </c>
      <c r="I20" s="70">
        <f t="shared" si="1"/>
        <v>0</v>
      </c>
      <c r="J20" s="71">
        <f t="shared" si="1"/>
        <v>0</v>
      </c>
    </row>
    <row r="21" spans="1:10" s="9" customFormat="1" ht="18.75" customHeight="1" x14ac:dyDescent="0.25">
      <c r="A21" s="870"/>
      <c r="B21" s="868"/>
      <c r="C21" s="872"/>
      <c r="D21" s="4" t="s">
        <v>83</v>
      </c>
      <c r="E21" s="30">
        <v>153</v>
      </c>
      <c r="F21" s="37">
        <v>843100</v>
      </c>
      <c r="G21" s="4"/>
      <c r="H21" s="17"/>
      <c r="I21" s="390"/>
      <c r="J21" s="17"/>
    </row>
    <row r="22" spans="1:10" s="2" customFormat="1" ht="15" customHeight="1" x14ac:dyDescent="0.25">
      <c r="A22" s="870"/>
      <c r="B22" s="868"/>
      <c r="C22" s="872"/>
      <c r="D22" s="4" t="s">
        <v>84</v>
      </c>
      <c r="E22" s="30">
        <v>15</v>
      </c>
      <c r="F22" s="37">
        <v>78000</v>
      </c>
      <c r="G22" s="4"/>
      <c r="H22" s="17"/>
      <c r="I22" s="390"/>
      <c r="J22" s="17"/>
    </row>
    <row r="23" spans="1:10" s="2" customFormat="1" ht="15" customHeight="1" x14ac:dyDescent="0.25">
      <c r="A23" s="870"/>
      <c r="B23" s="868"/>
      <c r="C23" s="872"/>
      <c r="D23" s="464" t="s">
        <v>85</v>
      </c>
      <c r="E23" s="30"/>
      <c r="F23" s="37"/>
      <c r="G23" s="464"/>
      <c r="H23" s="17"/>
      <c r="I23" s="464"/>
      <c r="J23" s="17"/>
    </row>
    <row r="24" spans="1:10" s="2" customFormat="1" ht="15" customHeight="1" x14ac:dyDescent="0.25">
      <c r="A24" s="870"/>
      <c r="B24" s="868"/>
      <c r="C24" s="872"/>
      <c r="D24" s="464" t="s">
        <v>86</v>
      </c>
      <c r="E24" s="30"/>
      <c r="F24" s="37"/>
      <c r="G24" s="464"/>
      <c r="H24" s="17"/>
      <c r="I24" s="464"/>
      <c r="J24" s="17"/>
    </row>
    <row r="25" spans="1:10" s="2" customFormat="1" ht="15" customHeight="1" x14ac:dyDescent="0.25">
      <c r="A25" s="870"/>
      <c r="B25" s="868"/>
      <c r="C25" s="872"/>
      <c r="D25" s="464" t="s">
        <v>87</v>
      </c>
      <c r="E25" s="30"/>
      <c r="F25" s="37"/>
      <c r="G25" s="464"/>
      <c r="H25" s="17"/>
      <c r="I25" s="464"/>
      <c r="J25" s="17"/>
    </row>
    <row r="26" spans="1:10" s="2" customFormat="1" ht="15" customHeight="1" x14ac:dyDescent="0.25">
      <c r="A26" s="870"/>
      <c r="B26" s="868"/>
      <c r="C26" s="872"/>
      <c r="D26" s="4" t="s">
        <v>88</v>
      </c>
      <c r="E26" s="30">
        <v>2</v>
      </c>
      <c r="F26" s="37">
        <v>3600</v>
      </c>
      <c r="G26" s="4"/>
      <c r="H26" s="17"/>
      <c r="I26" s="390"/>
      <c r="J26" s="17"/>
    </row>
    <row r="27" spans="1:10" s="2" customFormat="1" ht="15" customHeight="1" x14ac:dyDescent="0.25">
      <c r="A27" s="870"/>
      <c r="B27" s="868"/>
      <c r="C27" s="872"/>
      <c r="D27" s="4" t="s">
        <v>89</v>
      </c>
      <c r="E27" s="79">
        <v>69</v>
      </c>
      <c r="F27" s="81">
        <v>356600</v>
      </c>
      <c r="G27" s="27"/>
      <c r="H27" s="82"/>
      <c r="I27" s="394"/>
      <c r="J27" s="82"/>
    </row>
    <row r="28" spans="1:10" s="2" customFormat="1" ht="15" customHeight="1" x14ac:dyDescent="0.25">
      <c r="A28" s="873"/>
      <c r="B28" s="874"/>
      <c r="C28" s="875"/>
      <c r="D28" s="4" t="s">
        <v>90</v>
      </c>
      <c r="E28" s="79">
        <v>41</v>
      </c>
      <c r="F28" s="81">
        <v>196500</v>
      </c>
      <c r="G28" s="27"/>
      <c r="H28" s="82"/>
      <c r="I28" s="394"/>
      <c r="J28" s="82"/>
    </row>
    <row r="29" spans="1:10" s="8" customFormat="1" ht="8.25" customHeight="1" x14ac:dyDescent="0.25">
      <c r="A29" s="7"/>
      <c r="B29" s="7"/>
      <c r="C29" s="7"/>
      <c r="D29" s="7"/>
      <c r="E29" s="7"/>
      <c r="F29" s="7"/>
      <c r="G29" s="7"/>
      <c r="H29" s="7"/>
      <c r="I29" s="7"/>
      <c r="J29" s="7"/>
    </row>
    <row r="30" spans="1:10" s="9" customFormat="1" ht="27" customHeight="1" x14ac:dyDescent="0.25">
      <c r="A30" s="869" t="s">
        <v>7</v>
      </c>
      <c r="B30" s="867" t="s">
        <v>52</v>
      </c>
      <c r="C30" s="871" t="s">
        <v>53</v>
      </c>
      <c r="D30" s="224" t="s">
        <v>82</v>
      </c>
      <c r="E30" s="63">
        <f t="shared" ref="E30:J30" si="2">SUM(E31:E38)</f>
        <v>410</v>
      </c>
      <c r="F30" s="78">
        <f t="shared" si="2"/>
        <v>3227000</v>
      </c>
      <c r="G30" s="63">
        <f t="shared" si="2"/>
        <v>820</v>
      </c>
      <c r="H30" s="78">
        <f t="shared" si="2"/>
        <v>4100000</v>
      </c>
      <c r="I30" s="63">
        <f t="shared" si="2"/>
        <v>3</v>
      </c>
      <c r="J30" s="78">
        <f t="shared" si="2"/>
        <v>18000</v>
      </c>
    </row>
    <row r="31" spans="1:10" s="9" customFormat="1" ht="19.5" customHeight="1" x14ac:dyDescent="0.25">
      <c r="A31" s="870"/>
      <c r="B31" s="868"/>
      <c r="C31" s="872"/>
      <c r="D31" s="4" t="s">
        <v>83</v>
      </c>
      <c r="E31" s="30">
        <f>33</f>
        <v>33</v>
      </c>
      <c r="F31" s="37">
        <f>247000</f>
        <v>247000</v>
      </c>
      <c r="G31" s="383"/>
      <c r="H31" s="384"/>
      <c r="I31" s="383">
        <f>1</f>
        <v>1</v>
      </c>
      <c r="J31" s="384">
        <f>6000</f>
        <v>6000</v>
      </c>
    </row>
    <row r="32" spans="1:10" s="2" customFormat="1" ht="15" customHeight="1" x14ac:dyDescent="0.25">
      <c r="A32" s="870"/>
      <c r="B32" s="868"/>
      <c r="C32" s="872"/>
      <c r="D32" s="4" t="s">
        <v>84</v>
      </c>
      <c r="E32" s="30"/>
      <c r="F32" s="37"/>
      <c r="G32" s="383">
        <v>60</v>
      </c>
      <c r="H32" s="384">
        <f>G32*5000</f>
        <v>300000</v>
      </c>
      <c r="I32" s="383"/>
      <c r="J32" s="384"/>
    </row>
    <row r="33" spans="1:10" s="2" customFormat="1" ht="15" customHeight="1" x14ac:dyDescent="0.25">
      <c r="A33" s="870"/>
      <c r="B33" s="868"/>
      <c r="C33" s="872"/>
      <c r="D33" s="4" t="s">
        <v>85</v>
      </c>
      <c r="E33" s="30">
        <f>1</f>
        <v>1</v>
      </c>
      <c r="F33" s="37">
        <f>10000</f>
        <v>10000</v>
      </c>
      <c r="G33" s="383">
        <v>300</v>
      </c>
      <c r="H33" s="384">
        <f t="shared" ref="H33:H38" si="3">G33*5000</f>
        <v>1500000</v>
      </c>
      <c r="I33" s="383"/>
      <c r="J33" s="384"/>
    </row>
    <row r="34" spans="1:10" s="2" customFormat="1" ht="15" customHeight="1" x14ac:dyDescent="0.25">
      <c r="A34" s="870"/>
      <c r="B34" s="868"/>
      <c r="C34" s="872"/>
      <c r="D34" s="4" t="s">
        <v>86</v>
      </c>
      <c r="E34" s="30"/>
      <c r="F34" s="37"/>
      <c r="G34" s="383"/>
      <c r="H34" s="384">
        <f t="shared" si="3"/>
        <v>0</v>
      </c>
      <c r="I34" s="383"/>
      <c r="J34" s="384"/>
    </row>
    <row r="35" spans="1:10" s="2" customFormat="1" ht="15" customHeight="1" x14ac:dyDescent="0.25">
      <c r="A35" s="870"/>
      <c r="B35" s="868"/>
      <c r="C35" s="872"/>
      <c r="D35" s="4" t="s">
        <v>87</v>
      </c>
      <c r="E35" s="30"/>
      <c r="F35" s="37"/>
      <c r="G35" s="383">
        <v>240</v>
      </c>
      <c r="H35" s="384">
        <f t="shared" si="3"/>
        <v>1200000</v>
      </c>
      <c r="I35" s="383"/>
      <c r="J35" s="384"/>
    </row>
    <row r="36" spans="1:10" s="2" customFormat="1" ht="15" customHeight="1" x14ac:dyDescent="0.25">
      <c r="A36" s="870"/>
      <c r="B36" s="868"/>
      <c r="C36" s="872"/>
      <c r="D36" s="4" t="s">
        <v>88</v>
      </c>
      <c r="E36" s="30">
        <f>33</f>
        <v>33</v>
      </c>
      <c r="F36" s="37">
        <f>180000</f>
        <v>180000</v>
      </c>
      <c r="G36" s="383">
        <v>60</v>
      </c>
      <c r="H36" s="384">
        <f t="shared" si="3"/>
        <v>300000</v>
      </c>
      <c r="I36" s="383">
        <f>1</f>
        <v>1</v>
      </c>
      <c r="J36" s="384">
        <f>6000</f>
        <v>6000</v>
      </c>
    </row>
    <row r="37" spans="1:10" s="2" customFormat="1" ht="15" customHeight="1" x14ac:dyDescent="0.25">
      <c r="A37" s="870"/>
      <c r="B37" s="868"/>
      <c r="C37" s="872"/>
      <c r="D37" s="4" t="s">
        <v>89</v>
      </c>
      <c r="E37" s="79">
        <f>122+20</f>
        <v>142</v>
      </c>
      <c r="F37" s="81">
        <f>930000+130000</f>
        <v>1060000</v>
      </c>
      <c r="G37" s="383">
        <v>100</v>
      </c>
      <c r="H37" s="384">
        <f t="shared" si="3"/>
        <v>500000</v>
      </c>
      <c r="I37" s="383"/>
      <c r="J37" s="384"/>
    </row>
    <row r="38" spans="1:10" s="2" customFormat="1" ht="15" customHeight="1" x14ac:dyDescent="0.25">
      <c r="A38" s="873"/>
      <c r="B38" s="874"/>
      <c r="C38" s="875"/>
      <c r="D38" s="4" t="s">
        <v>90</v>
      </c>
      <c r="E38" s="79">
        <f>201</f>
        <v>201</v>
      </c>
      <c r="F38" s="81">
        <f>1730000</f>
        <v>1730000</v>
      </c>
      <c r="G38" s="383">
        <v>60</v>
      </c>
      <c r="H38" s="384">
        <f t="shared" si="3"/>
        <v>300000</v>
      </c>
      <c r="I38" s="383">
        <f>1</f>
        <v>1</v>
      </c>
      <c r="J38" s="384">
        <f>6000</f>
        <v>6000</v>
      </c>
    </row>
    <row r="39" spans="1:10" s="123" customFormat="1" ht="8.25" customHeight="1" x14ac:dyDescent="0.25"/>
    <row r="40" spans="1:10" s="123" customFormat="1" ht="8.25" customHeight="1" x14ac:dyDescent="0.25"/>
    <row r="41" spans="1:10" s="123" customFormat="1" ht="8.25" customHeight="1" x14ac:dyDescent="0.25"/>
    <row r="42" spans="1:10" s="123" customFormat="1" ht="8.25" customHeight="1" x14ac:dyDescent="0.25"/>
    <row r="43" spans="1:10" s="123" customFormat="1" ht="8.25" customHeight="1" x14ac:dyDescent="0.25"/>
    <row r="44" spans="1:10" s="123" customFormat="1" ht="8.25" customHeight="1" x14ac:dyDescent="0.25"/>
    <row r="45" spans="1:10" s="123" customFormat="1" ht="8.25" customHeight="1" x14ac:dyDescent="0.25"/>
    <row r="46" spans="1:10" s="123" customFormat="1" ht="8.25" customHeight="1" x14ac:dyDescent="0.25"/>
    <row r="47" spans="1:10" s="123" customFormat="1" ht="8.25" customHeight="1" x14ac:dyDescent="0.25"/>
    <row r="48" spans="1:10" s="123" customFormat="1" ht="8.25" customHeight="1" x14ac:dyDescent="0.25"/>
    <row r="49" spans="1:10" s="9" customFormat="1" ht="20.25" customHeight="1" x14ac:dyDescent="0.25">
      <c r="A49" s="869" t="s">
        <v>6</v>
      </c>
      <c r="B49" s="867" t="s">
        <v>54</v>
      </c>
      <c r="C49" s="869" t="s">
        <v>20</v>
      </c>
      <c r="D49" s="70" t="s">
        <v>82</v>
      </c>
      <c r="E49" s="70">
        <f t="shared" ref="E49:J49" si="4">SUM(E50:E57)</f>
        <v>5434</v>
      </c>
      <c r="F49" s="84">
        <f t="shared" si="4"/>
        <v>6748580</v>
      </c>
      <c r="G49" s="70">
        <f t="shared" si="4"/>
        <v>9566</v>
      </c>
      <c r="H49" s="71">
        <f t="shared" si="4"/>
        <v>13855140</v>
      </c>
      <c r="I49" s="70">
        <f t="shared" si="4"/>
        <v>0</v>
      </c>
      <c r="J49" s="71">
        <f t="shared" si="4"/>
        <v>0</v>
      </c>
    </row>
    <row r="50" spans="1:10" s="9" customFormat="1" ht="21.75" customHeight="1" x14ac:dyDescent="0.25">
      <c r="A50" s="870"/>
      <c r="B50" s="868"/>
      <c r="C50" s="870"/>
      <c r="D50" s="4" t="s">
        <v>83</v>
      </c>
      <c r="E50" s="30">
        <v>1700</v>
      </c>
      <c r="F50" s="37">
        <v>2672400</v>
      </c>
      <c r="G50" s="385">
        <v>2040</v>
      </c>
      <c r="H50" s="386">
        <v>3182400</v>
      </c>
      <c r="I50" s="385"/>
      <c r="J50" s="386"/>
    </row>
    <row r="51" spans="1:10" s="22" customFormat="1" ht="14.25" customHeight="1" x14ac:dyDescent="0.25">
      <c r="A51" s="870"/>
      <c r="B51" s="868"/>
      <c r="C51" s="870"/>
      <c r="D51" s="4" t="s">
        <v>84</v>
      </c>
      <c r="E51" s="30">
        <v>858</v>
      </c>
      <c r="F51" s="37">
        <v>1348780</v>
      </c>
      <c r="G51" s="385">
        <v>1030</v>
      </c>
      <c r="H51" s="386">
        <v>1606800</v>
      </c>
      <c r="I51" s="385"/>
      <c r="J51" s="386"/>
    </row>
    <row r="52" spans="1:10" s="22" customFormat="1" x14ac:dyDescent="0.25">
      <c r="A52" s="870"/>
      <c r="B52" s="868"/>
      <c r="C52" s="870"/>
      <c r="D52" s="4" t="s">
        <v>85</v>
      </c>
      <c r="E52" s="30">
        <v>692</v>
      </c>
      <c r="F52" s="37">
        <v>1087820</v>
      </c>
      <c r="G52" s="385">
        <v>831</v>
      </c>
      <c r="H52" s="386">
        <v>1296360</v>
      </c>
      <c r="I52" s="385"/>
      <c r="J52" s="386"/>
    </row>
    <row r="53" spans="1:10" s="22" customFormat="1" x14ac:dyDescent="0.25">
      <c r="A53" s="870"/>
      <c r="B53" s="868"/>
      <c r="C53" s="870"/>
      <c r="D53" s="4" t="s">
        <v>86</v>
      </c>
      <c r="E53" s="30"/>
      <c r="F53" s="31"/>
      <c r="G53" s="385">
        <v>550</v>
      </c>
      <c r="H53" s="386">
        <v>858000</v>
      </c>
      <c r="I53" s="385"/>
      <c r="J53" s="386"/>
    </row>
    <row r="54" spans="1:10" s="22" customFormat="1" x14ac:dyDescent="0.25">
      <c r="A54" s="870"/>
      <c r="B54" s="868"/>
      <c r="C54" s="870"/>
      <c r="D54" s="4" t="s">
        <v>87</v>
      </c>
      <c r="E54" s="30">
        <v>1043</v>
      </c>
      <c r="F54" s="37">
        <v>1639580</v>
      </c>
      <c r="G54" s="385">
        <v>1252</v>
      </c>
      <c r="H54" s="386">
        <v>1953120</v>
      </c>
      <c r="I54" s="385"/>
      <c r="J54" s="386"/>
    </row>
    <row r="55" spans="1:10" s="22" customFormat="1" x14ac:dyDescent="0.25">
      <c r="A55" s="870"/>
      <c r="B55" s="868"/>
      <c r="C55" s="870"/>
      <c r="D55" s="4" t="s">
        <v>88</v>
      </c>
      <c r="E55" s="30"/>
      <c r="F55" s="31"/>
      <c r="G55" s="385">
        <v>959</v>
      </c>
      <c r="H55" s="386">
        <v>1496040</v>
      </c>
      <c r="I55" s="385"/>
      <c r="J55" s="386"/>
    </row>
    <row r="56" spans="1:10" s="22" customFormat="1" x14ac:dyDescent="0.25">
      <c r="A56" s="870"/>
      <c r="B56" s="868"/>
      <c r="C56" s="870"/>
      <c r="D56" s="4" t="s">
        <v>89</v>
      </c>
      <c r="E56" s="79"/>
      <c r="F56" s="80"/>
      <c r="G56" s="387">
        <v>1535</v>
      </c>
      <c r="H56" s="388">
        <v>2394600</v>
      </c>
      <c r="I56" s="387"/>
      <c r="J56" s="388"/>
    </row>
    <row r="57" spans="1:10" s="22" customFormat="1" x14ac:dyDescent="0.25">
      <c r="A57" s="873"/>
      <c r="B57" s="874"/>
      <c r="C57" s="873"/>
      <c r="D57" s="4" t="s">
        <v>90</v>
      </c>
      <c r="E57" s="79">
        <v>1141</v>
      </c>
      <c r="F57" s="80" t="s">
        <v>205</v>
      </c>
      <c r="G57" s="387">
        <v>1369</v>
      </c>
      <c r="H57" s="388">
        <v>1067820</v>
      </c>
      <c r="I57" s="387"/>
      <c r="J57" s="388"/>
    </row>
    <row r="58" spans="1:10" s="8" customFormat="1" ht="8.25" customHeight="1" x14ac:dyDescent="0.25">
      <c r="A58" s="7"/>
      <c r="B58" s="7"/>
      <c r="C58" s="7"/>
      <c r="D58" s="7"/>
      <c r="E58" s="7"/>
      <c r="F58" s="7"/>
      <c r="G58" s="7"/>
      <c r="H58" s="7"/>
      <c r="I58" s="7"/>
      <c r="J58" s="7"/>
    </row>
    <row r="59" spans="1:10" s="9" customFormat="1" ht="17.25" customHeight="1" x14ac:dyDescent="0.25">
      <c r="A59" s="869" t="s">
        <v>16</v>
      </c>
      <c r="B59" s="869" t="s">
        <v>55</v>
      </c>
      <c r="C59" s="869" t="s">
        <v>19</v>
      </c>
      <c r="D59" s="70" t="s">
        <v>82</v>
      </c>
      <c r="E59" s="70">
        <f t="shared" ref="E59:J59" si="5">SUM(E60:E67)</f>
        <v>659</v>
      </c>
      <c r="F59" s="71">
        <f t="shared" si="5"/>
        <v>3954000</v>
      </c>
      <c r="G59" s="70">
        <f t="shared" si="5"/>
        <v>659</v>
      </c>
      <c r="H59" s="71">
        <f t="shared" si="5"/>
        <v>3954000</v>
      </c>
      <c r="I59" s="70">
        <f t="shared" si="5"/>
        <v>0</v>
      </c>
      <c r="J59" s="71">
        <f t="shared" si="5"/>
        <v>0</v>
      </c>
    </row>
    <row r="60" spans="1:10" s="9" customFormat="1" ht="23.25" customHeight="1" x14ac:dyDescent="0.25">
      <c r="A60" s="870"/>
      <c r="B60" s="870"/>
      <c r="C60" s="870"/>
      <c r="D60" s="4" t="s">
        <v>83</v>
      </c>
      <c r="E60" s="383">
        <v>83</v>
      </c>
      <c r="F60" s="413">
        <f>E60*500*12</f>
        <v>498000</v>
      </c>
      <c r="G60" s="383">
        <v>83</v>
      </c>
      <c r="H60" s="386">
        <f>G60*500*12</f>
        <v>498000</v>
      </c>
      <c r="I60" s="385"/>
      <c r="J60" s="386"/>
    </row>
    <row r="61" spans="1:10" s="1" customFormat="1" ht="18" customHeight="1" x14ac:dyDescent="0.25">
      <c r="A61" s="870"/>
      <c r="B61" s="870"/>
      <c r="C61" s="870"/>
      <c r="D61" s="4" t="s">
        <v>84</v>
      </c>
      <c r="E61" s="383">
        <v>94</v>
      </c>
      <c r="F61" s="413">
        <f t="shared" ref="F61:F67" si="6">E61*500*12</f>
        <v>564000</v>
      </c>
      <c r="G61" s="383">
        <v>94</v>
      </c>
      <c r="H61" s="386">
        <f t="shared" ref="H61:H67" si="7">G61*500*12</f>
        <v>564000</v>
      </c>
      <c r="I61" s="385"/>
      <c r="J61" s="386"/>
    </row>
    <row r="62" spans="1:10" s="1" customFormat="1" x14ac:dyDescent="0.25">
      <c r="A62" s="870"/>
      <c r="B62" s="870"/>
      <c r="C62" s="870"/>
      <c r="D62" s="4" t="s">
        <v>85</v>
      </c>
      <c r="E62" s="383">
        <v>75</v>
      </c>
      <c r="F62" s="413">
        <f t="shared" si="6"/>
        <v>450000</v>
      </c>
      <c r="G62" s="383">
        <v>75</v>
      </c>
      <c r="H62" s="386">
        <f t="shared" si="7"/>
        <v>450000</v>
      </c>
      <c r="I62" s="385"/>
      <c r="J62" s="386"/>
    </row>
    <row r="63" spans="1:10" s="1" customFormat="1" x14ac:dyDescent="0.25">
      <c r="A63" s="870"/>
      <c r="B63" s="870"/>
      <c r="C63" s="870"/>
      <c r="D63" s="4" t="s">
        <v>86</v>
      </c>
      <c r="E63" s="383">
        <v>85</v>
      </c>
      <c r="F63" s="413">
        <f t="shared" si="6"/>
        <v>510000</v>
      </c>
      <c r="G63" s="383">
        <v>85</v>
      </c>
      <c r="H63" s="386">
        <f t="shared" si="7"/>
        <v>510000</v>
      </c>
      <c r="I63" s="385"/>
      <c r="J63" s="386"/>
    </row>
    <row r="64" spans="1:10" s="1" customFormat="1" x14ac:dyDescent="0.25">
      <c r="A64" s="870"/>
      <c r="B64" s="870"/>
      <c r="C64" s="870"/>
      <c r="D64" s="4" t="s">
        <v>87</v>
      </c>
      <c r="E64" s="383">
        <v>85</v>
      </c>
      <c r="F64" s="413">
        <f t="shared" si="6"/>
        <v>510000</v>
      </c>
      <c r="G64" s="383">
        <v>85</v>
      </c>
      <c r="H64" s="386">
        <f t="shared" si="7"/>
        <v>510000</v>
      </c>
      <c r="I64" s="385"/>
      <c r="J64" s="386"/>
    </row>
    <row r="65" spans="1:10" s="1" customFormat="1" x14ac:dyDescent="0.25">
      <c r="A65" s="870"/>
      <c r="B65" s="870"/>
      <c r="C65" s="870"/>
      <c r="D65" s="4" t="s">
        <v>88</v>
      </c>
      <c r="E65" s="383">
        <v>75</v>
      </c>
      <c r="F65" s="413">
        <f t="shared" si="6"/>
        <v>450000</v>
      </c>
      <c r="G65" s="383">
        <v>75</v>
      </c>
      <c r="H65" s="386">
        <f t="shared" si="7"/>
        <v>450000</v>
      </c>
      <c r="I65" s="385"/>
      <c r="J65" s="386"/>
    </row>
    <row r="66" spans="1:10" s="1" customFormat="1" x14ac:dyDescent="0.25">
      <c r="A66" s="870"/>
      <c r="B66" s="870"/>
      <c r="C66" s="870"/>
      <c r="D66" s="4" t="s">
        <v>89</v>
      </c>
      <c r="E66" s="383">
        <v>78</v>
      </c>
      <c r="F66" s="413">
        <f t="shared" si="6"/>
        <v>468000</v>
      </c>
      <c r="G66" s="383">
        <v>78</v>
      </c>
      <c r="H66" s="386">
        <f t="shared" si="7"/>
        <v>468000</v>
      </c>
      <c r="I66" s="385"/>
      <c r="J66" s="386"/>
    </row>
    <row r="67" spans="1:10" s="1" customFormat="1" x14ac:dyDescent="0.25">
      <c r="A67" s="873"/>
      <c r="B67" s="873"/>
      <c r="C67" s="873"/>
      <c r="D67" s="4" t="s">
        <v>90</v>
      </c>
      <c r="E67" s="383">
        <v>84</v>
      </c>
      <c r="F67" s="413">
        <f t="shared" si="6"/>
        <v>504000</v>
      </c>
      <c r="G67" s="383">
        <v>84</v>
      </c>
      <c r="H67" s="386">
        <f t="shared" si="7"/>
        <v>504000</v>
      </c>
      <c r="I67" s="385"/>
      <c r="J67" s="386"/>
    </row>
    <row r="68" spans="1:10" s="8" customFormat="1" ht="8.25" customHeight="1" x14ac:dyDescent="0.25">
      <c r="A68" s="7"/>
      <c r="B68" s="7"/>
      <c r="C68" s="7"/>
      <c r="D68" s="7"/>
      <c r="E68" s="7"/>
      <c r="F68" s="7"/>
      <c r="G68" s="7"/>
      <c r="H68" s="7"/>
      <c r="I68" s="7"/>
      <c r="J68" s="7"/>
    </row>
    <row r="69" spans="1:10" s="9" customFormat="1" ht="18" customHeight="1" x14ac:dyDescent="0.25">
      <c r="A69" s="869" t="s">
        <v>17</v>
      </c>
      <c r="B69" s="876" t="s">
        <v>56</v>
      </c>
      <c r="C69" s="869" t="s">
        <v>18</v>
      </c>
      <c r="D69" s="70" t="s">
        <v>82</v>
      </c>
      <c r="E69" s="64">
        <f t="shared" ref="E69:J69" si="8">SUM(E70:E77)</f>
        <v>14</v>
      </c>
      <c r="F69" s="78">
        <f t="shared" si="8"/>
        <v>22558</v>
      </c>
      <c r="G69" s="64">
        <f t="shared" si="8"/>
        <v>0</v>
      </c>
      <c r="H69" s="78">
        <f t="shared" si="8"/>
        <v>0</v>
      </c>
      <c r="I69" s="64">
        <f t="shared" si="8"/>
        <v>5</v>
      </c>
      <c r="J69" s="78">
        <f t="shared" si="8"/>
        <v>8500</v>
      </c>
    </row>
    <row r="70" spans="1:10" s="9" customFormat="1" ht="21.75" customHeight="1" x14ac:dyDescent="0.25">
      <c r="A70" s="870"/>
      <c r="B70" s="877"/>
      <c r="C70" s="870"/>
      <c r="D70" s="4" t="s">
        <v>83</v>
      </c>
      <c r="E70" s="30">
        <f>4+2</f>
        <v>6</v>
      </c>
      <c r="F70" s="37">
        <f>7000+3000</f>
        <v>10000</v>
      </c>
      <c r="G70" s="20"/>
      <c r="H70" s="17"/>
      <c r="I70" s="20">
        <f>3</f>
        <v>3</v>
      </c>
      <c r="J70" s="17">
        <f>5500</f>
        <v>5500</v>
      </c>
    </row>
    <row r="71" spans="1:10" s="1" customFormat="1" x14ac:dyDescent="0.25">
      <c r="A71" s="870"/>
      <c r="B71" s="877"/>
      <c r="C71" s="870"/>
      <c r="D71" s="4" t="s">
        <v>84</v>
      </c>
      <c r="E71" s="30">
        <f>1+1</f>
        <v>2</v>
      </c>
      <c r="F71" s="37">
        <f>1500+500</f>
        <v>2000</v>
      </c>
      <c r="G71" s="20"/>
      <c r="H71" s="17"/>
      <c r="I71" s="20"/>
      <c r="J71" s="17"/>
    </row>
    <row r="72" spans="1:10" s="1" customFormat="1" x14ac:dyDescent="0.25">
      <c r="A72" s="870"/>
      <c r="B72" s="877"/>
      <c r="C72" s="870"/>
      <c r="D72" s="4" t="s">
        <v>85</v>
      </c>
      <c r="E72" s="30"/>
      <c r="F72" s="37"/>
      <c r="G72" s="20"/>
      <c r="H72" s="17"/>
      <c r="I72" s="20"/>
      <c r="J72" s="17"/>
    </row>
    <row r="73" spans="1:10" s="1" customFormat="1" x14ac:dyDescent="0.25">
      <c r="A73" s="870"/>
      <c r="B73" s="877"/>
      <c r="C73" s="870"/>
      <c r="D73" s="4" t="s">
        <v>86</v>
      </c>
      <c r="E73" s="30">
        <f>1</f>
        <v>1</v>
      </c>
      <c r="F73" s="37">
        <f>3058</f>
        <v>3058</v>
      </c>
      <c r="G73" s="20"/>
      <c r="H73" s="17"/>
      <c r="I73" s="20"/>
      <c r="J73" s="17"/>
    </row>
    <row r="74" spans="1:10" s="1" customFormat="1" x14ac:dyDescent="0.25">
      <c r="A74" s="870"/>
      <c r="B74" s="877"/>
      <c r="C74" s="870"/>
      <c r="D74" s="464" t="s">
        <v>87</v>
      </c>
      <c r="E74" s="30"/>
      <c r="F74" s="37"/>
      <c r="G74" s="20"/>
      <c r="H74" s="17"/>
      <c r="I74" s="20"/>
      <c r="J74" s="17"/>
    </row>
    <row r="75" spans="1:10" s="1" customFormat="1" x14ac:dyDescent="0.25">
      <c r="A75" s="870"/>
      <c r="B75" s="877"/>
      <c r="C75" s="870"/>
      <c r="D75" s="4" t="s">
        <v>88</v>
      </c>
      <c r="E75" s="30">
        <f>1</f>
        <v>1</v>
      </c>
      <c r="F75" s="37">
        <f>1500</f>
        <v>1500</v>
      </c>
      <c r="G75" s="20"/>
      <c r="H75" s="17"/>
      <c r="I75" s="20"/>
      <c r="J75" s="17"/>
    </row>
    <row r="76" spans="1:10" s="1" customFormat="1" x14ac:dyDescent="0.25">
      <c r="A76" s="870"/>
      <c r="B76" s="877"/>
      <c r="C76" s="870"/>
      <c r="D76" s="4" t="s">
        <v>89</v>
      </c>
      <c r="E76" s="30">
        <f>2</f>
        <v>2</v>
      </c>
      <c r="F76" s="37">
        <f>2500</f>
        <v>2500</v>
      </c>
      <c r="G76" s="20"/>
      <c r="H76" s="17"/>
      <c r="I76" s="20">
        <f>1</f>
        <v>1</v>
      </c>
      <c r="J76" s="17">
        <f>1500</f>
        <v>1500</v>
      </c>
    </row>
    <row r="77" spans="1:10" s="1" customFormat="1" x14ac:dyDescent="0.25">
      <c r="A77" s="873"/>
      <c r="B77" s="878"/>
      <c r="C77" s="873"/>
      <c r="D77" s="4" t="s">
        <v>90</v>
      </c>
      <c r="E77" s="30">
        <f>2</f>
        <v>2</v>
      </c>
      <c r="F77" s="37">
        <f>3500</f>
        <v>3500</v>
      </c>
      <c r="G77" s="20"/>
      <c r="H77" s="17"/>
      <c r="I77" s="20">
        <f>1</f>
        <v>1</v>
      </c>
      <c r="J77" s="17">
        <f>1500</f>
        <v>1500</v>
      </c>
    </row>
    <row r="78" spans="1:10" s="8" customFormat="1" ht="5.25" customHeight="1" x14ac:dyDescent="0.25">
      <c r="A78" s="122"/>
      <c r="B78" s="122"/>
      <c r="C78" s="122"/>
      <c r="D78" s="122"/>
      <c r="E78" s="122"/>
      <c r="F78" s="122"/>
      <c r="G78" s="122"/>
      <c r="H78" s="122"/>
      <c r="I78" s="122"/>
      <c r="J78" s="122"/>
    </row>
    <row r="79" spans="1:10" s="9" customFormat="1" ht="21.75" customHeight="1" x14ac:dyDescent="0.25">
      <c r="A79" s="870" t="s">
        <v>23</v>
      </c>
      <c r="B79" s="867" t="s">
        <v>58</v>
      </c>
      <c r="C79" s="870" t="s">
        <v>24</v>
      </c>
      <c r="D79" s="70" t="s">
        <v>82</v>
      </c>
      <c r="E79" s="64">
        <f t="shared" ref="E79:J79" si="9">SUM(E80:E87)</f>
        <v>10960</v>
      </c>
      <c r="F79" s="78">
        <f t="shared" si="9"/>
        <v>2968231.08</v>
      </c>
      <c r="G79" s="64">
        <f t="shared" si="9"/>
        <v>0</v>
      </c>
      <c r="H79" s="78">
        <f t="shared" si="9"/>
        <v>0</v>
      </c>
      <c r="I79" s="64">
        <f t="shared" si="9"/>
        <v>0</v>
      </c>
      <c r="J79" s="78">
        <f t="shared" si="9"/>
        <v>0</v>
      </c>
    </row>
    <row r="80" spans="1:10" s="9" customFormat="1" ht="21" customHeight="1" x14ac:dyDescent="0.25">
      <c r="A80" s="870"/>
      <c r="B80" s="868"/>
      <c r="C80" s="870"/>
      <c r="D80" s="4" t="s">
        <v>83</v>
      </c>
      <c r="E80" s="30">
        <f>125</f>
        <v>125</v>
      </c>
      <c r="F80" s="37">
        <f>31250</f>
        <v>31250</v>
      </c>
      <c r="G80" s="20"/>
      <c r="H80" s="17"/>
      <c r="I80" s="20"/>
      <c r="J80" s="17"/>
    </row>
    <row r="81" spans="1:10" s="16" customFormat="1" x14ac:dyDescent="0.25">
      <c r="A81" s="870"/>
      <c r="B81" s="868"/>
      <c r="C81" s="870"/>
      <c r="D81" s="4" t="s">
        <v>84</v>
      </c>
      <c r="E81" s="30">
        <v>5000</v>
      </c>
      <c r="F81" s="37">
        <f>1387494.96</f>
        <v>1387494.96</v>
      </c>
      <c r="G81" s="20"/>
      <c r="H81" s="17"/>
      <c r="I81" s="20"/>
      <c r="J81" s="17"/>
    </row>
    <row r="82" spans="1:10" s="1" customFormat="1" x14ac:dyDescent="0.25">
      <c r="A82" s="870"/>
      <c r="B82" s="868"/>
      <c r="C82" s="870"/>
      <c r="D82" s="4" t="s">
        <v>85</v>
      </c>
      <c r="E82" s="30">
        <v>3000</v>
      </c>
      <c r="F82" s="37">
        <f>752453.92</f>
        <v>752453.92</v>
      </c>
      <c r="G82" s="20"/>
      <c r="H82" s="17"/>
      <c r="I82" s="20"/>
      <c r="J82" s="17"/>
    </row>
    <row r="83" spans="1:10" s="1" customFormat="1" x14ac:dyDescent="0.25">
      <c r="A83" s="870"/>
      <c r="B83" s="868"/>
      <c r="C83" s="870"/>
      <c r="D83" s="4" t="s">
        <v>86</v>
      </c>
      <c r="E83" s="30">
        <v>1400</v>
      </c>
      <c r="F83" s="37">
        <f>357532.2</f>
        <v>357532.2</v>
      </c>
      <c r="G83" s="20"/>
      <c r="H83" s="17"/>
      <c r="I83" s="20"/>
      <c r="J83" s="17"/>
    </row>
    <row r="84" spans="1:10" s="1" customFormat="1" x14ac:dyDescent="0.25">
      <c r="A84" s="870"/>
      <c r="B84" s="868"/>
      <c r="C84" s="870"/>
      <c r="D84" s="4" t="s">
        <v>87</v>
      </c>
      <c r="E84" s="30">
        <f>180</f>
        <v>180</v>
      </c>
      <c r="F84" s="37">
        <f>125000</f>
        <v>125000</v>
      </c>
      <c r="G84" s="20"/>
      <c r="H84" s="17"/>
      <c r="I84" s="20"/>
      <c r="J84" s="17"/>
    </row>
    <row r="85" spans="1:10" s="1" customFormat="1" x14ac:dyDescent="0.25">
      <c r="A85" s="870"/>
      <c r="B85" s="868"/>
      <c r="C85" s="870"/>
      <c r="D85" s="4" t="s">
        <v>88</v>
      </c>
      <c r="E85" s="30">
        <v>600</v>
      </c>
      <c r="F85" s="37">
        <f>150750</f>
        <v>150750</v>
      </c>
      <c r="G85" s="20"/>
      <c r="H85" s="17"/>
      <c r="I85" s="20"/>
      <c r="J85" s="17"/>
    </row>
    <row r="86" spans="1:10" s="1" customFormat="1" x14ac:dyDescent="0.25">
      <c r="A86" s="870"/>
      <c r="B86" s="868"/>
      <c r="C86" s="870"/>
      <c r="D86" s="4" t="s">
        <v>89</v>
      </c>
      <c r="E86" s="30">
        <f>75</f>
        <v>75</v>
      </c>
      <c r="F86" s="37">
        <f>18750</f>
        <v>18750</v>
      </c>
      <c r="G86" s="20"/>
      <c r="H86" s="17"/>
      <c r="I86" s="20"/>
      <c r="J86" s="17"/>
    </row>
    <row r="87" spans="1:10" s="1" customFormat="1" ht="15.75" customHeight="1" x14ac:dyDescent="0.25">
      <c r="A87" s="873"/>
      <c r="B87" s="874"/>
      <c r="C87" s="873"/>
      <c r="D87" s="390" t="s">
        <v>90</v>
      </c>
      <c r="E87" s="30">
        <f>580</f>
        <v>580</v>
      </c>
      <c r="F87" s="37">
        <f>145000</f>
        <v>145000</v>
      </c>
      <c r="G87" s="20"/>
      <c r="H87" s="17"/>
      <c r="I87" s="20"/>
      <c r="J87" s="17"/>
    </row>
    <row r="88" spans="1:10" s="123" customFormat="1" ht="8.25" customHeight="1" x14ac:dyDescent="0.25"/>
    <row r="89" spans="1:10" s="123" customFormat="1" ht="8.25" customHeight="1" x14ac:dyDescent="0.25"/>
    <row r="90" spans="1:10" s="123" customFormat="1" ht="8.25" customHeight="1" x14ac:dyDescent="0.25"/>
    <row r="91" spans="1:10" s="9" customFormat="1" ht="20.25" customHeight="1" x14ac:dyDescent="0.25">
      <c r="A91" s="869" t="s">
        <v>63</v>
      </c>
      <c r="B91" s="831" t="s">
        <v>64</v>
      </c>
      <c r="C91" s="869" t="s">
        <v>65</v>
      </c>
      <c r="D91" s="70" t="s">
        <v>82</v>
      </c>
      <c r="E91" s="119">
        <f t="shared" ref="E91:J91" si="10">SUM(E92:E99)</f>
        <v>2382</v>
      </c>
      <c r="F91" s="69">
        <f t="shared" si="10"/>
        <v>16870000</v>
      </c>
      <c r="G91" s="119">
        <f t="shared" si="10"/>
        <v>0</v>
      </c>
      <c r="H91" s="69">
        <f t="shared" si="10"/>
        <v>0</v>
      </c>
      <c r="I91" s="119">
        <f t="shared" si="10"/>
        <v>0</v>
      </c>
      <c r="J91" s="69">
        <f t="shared" si="10"/>
        <v>0</v>
      </c>
    </row>
    <row r="92" spans="1:10" s="9" customFormat="1" ht="14.25" customHeight="1" x14ac:dyDescent="0.25">
      <c r="A92" s="870"/>
      <c r="B92" s="879"/>
      <c r="C92" s="870"/>
      <c r="D92" s="464" t="s">
        <v>83</v>
      </c>
      <c r="E92" s="467"/>
      <c r="F92" s="468"/>
      <c r="G92" s="467"/>
      <c r="H92" s="468"/>
      <c r="I92" s="467"/>
      <c r="J92" s="468"/>
    </row>
    <row r="93" spans="1:10" s="16" customFormat="1" ht="15" customHeight="1" x14ac:dyDescent="0.25">
      <c r="A93" s="870"/>
      <c r="B93" s="879"/>
      <c r="C93" s="870"/>
      <c r="D93" s="4" t="s">
        <v>84</v>
      </c>
      <c r="E93" s="30">
        <f>1684</f>
        <v>1684</v>
      </c>
      <c r="F93" s="37">
        <v>12540000</v>
      </c>
      <c r="G93" s="20"/>
      <c r="H93" s="17"/>
      <c r="I93" s="20"/>
      <c r="J93" s="17"/>
    </row>
    <row r="94" spans="1:10" s="16" customFormat="1" ht="15" customHeight="1" x14ac:dyDescent="0.25">
      <c r="A94" s="870"/>
      <c r="B94" s="879"/>
      <c r="C94" s="870"/>
      <c r="D94" s="464" t="s">
        <v>85</v>
      </c>
      <c r="E94" s="30"/>
      <c r="F94" s="37"/>
      <c r="G94" s="20"/>
      <c r="H94" s="17"/>
      <c r="I94" s="20"/>
      <c r="J94" s="17"/>
    </row>
    <row r="95" spans="1:10" s="1" customFormat="1" x14ac:dyDescent="0.25">
      <c r="A95" s="870"/>
      <c r="B95" s="879"/>
      <c r="C95" s="870"/>
      <c r="D95" s="4" t="s">
        <v>86</v>
      </c>
      <c r="E95" s="30">
        <f>529</f>
        <v>529</v>
      </c>
      <c r="F95" s="37">
        <f>3320000</f>
        <v>3320000</v>
      </c>
      <c r="G95" s="20"/>
      <c r="H95" s="17"/>
      <c r="I95" s="20"/>
      <c r="J95" s="17"/>
    </row>
    <row r="96" spans="1:10" s="1" customFormat="1" x14ac:dyDescent="0.25">
      <c r="A96" s="870"/>
      <c r="B96" s="879"/>
      <c r="C96" s="870"/>
      <c r="D96" s="464" t="s">
        <v>87</v>
      </c>
      <c r="E96" s="30"/>
      <c r="F96" s="37"/>
      <c r="G96" s="20"/>
      <c r="H96" s="17"/>
      <c r="I96" s="20"/>
      <c r="J96" s="17"/>
    </row>
    <row r="97" spans="1:10" s="1" customFormat="1" x14ac:dyDescent="0.25">
      <c r="A97" s="870"/>
      <c r="B97" s="879"/>
      <c r="C97" s="870"/>
      <c r="D97" s="464" t="s">
        <v>88</v>
      </c>
      <c r="E97" s="30">
        <f>169</f>
        <v>169</v>
      </c>
      <c r="F97" s="37">
        <f>1010000</f>
        <v>1010000</v>
      </c>
      <c r="G97" s="20"/>
      <c r="H97" s="17"/>
      <c r="I97" s="20"/>
      <c r="J97" s="17"/>
    </row>
    <row r="98" spans="1:10" s="1" customFormat="1" x14ac:dyDescent="0.25">
      <c r="A98" s="870"/>
      <c r="B98" s="879"/>
      <c r="C98" s="870"/>
      <c r="D98" s="464" t="s">
        <v>89</v>
      </c>
      <c r="E98" s="30"/>
      <c r="F98" s="37"/>
      <c r="G98" s="20"/>
      <c r="H98" s="17"/>
      <c r="I98" s="20"/>
      <c r="J98" s="17"/>
    </row>
    <row r="99" spans="1:10" s="1" customFormat="1" ht="31.5" customHeight="1" x14ac:dyDescent="0.25">
      <c r="A99" s="870"/>
      <c r="B99" s="879"/>
      <c r="C99" s="873"/>
      <c r="D99" s="464" t="s">
        <v>90</v>
      </c>
      <c r="E99" s="30"/>
      <c r="F99" s="37"/>
      <c r="G99" s="20"/>
      <c r="H99" s="17"/>
      <c r="I99" s="20"/>
      <c r="J99" s="17"/>
    </row>
    <row r="100" spans="1:10" s="8" customFormat="1" ht="8.25" customHeight="1" x14ac:dyDescent="0.25">
      <c r="A100" s="60"/>
      <c r="B100" s="60"/>
      <c r="C100" s="60"/>
      <c r="D100" s="60"/>
      <c r="E100" s="60"/>
      <c r="F100" s="60"/>
      <c r="G100" s="60"/>
      <c r="H100" s="60"/>
      <c r="I100" s="60"/>
      <c r="J100" s="60"/>
    </row>
    <row r="101" spans="1:10" s="9" customFormat="1" ht="18" customHeight="1" x14ac:dyDescent="0.25">
      <c r="A101" s="869" t="s">
        <v>67</v>
      </c>
      <c r="B101" s="831" t="s">
        <v>68</v>
      </c>
      <c r="C101" s="869" t="s">
        <v>65</v>
      </c>
      <c r="D101" s="224" t="s">
        <v>82</v>
      </c>
      <c r="E101" s="64">
        <f t="shared" ref="E101:J101" si="11">SUM(E103:E109)</f>
        <v>1687</v>
      </c>
      <c r="F101" s="78">
        <f t="shared" si="11"/>
        <v>4251240</v>
      </c>
      <c r="G101" s="64">
        <f t="shared" si="11"/>
        <v>0</v>
      </c>
      <c r="H101" s="78">
        <f t="shared" si="11"/>
        <v>0</v>
      </c>
      <c r="I101" s="64">
        <f t="shared" si="11"/>
        <v>0</v>
      </c>
      <c r="J101" s="78">
        <f t="shared" si="11"/>
        <v>0</v>
      </c>
    </row>
    <row r="102" spans="1:10" s="9" customFormat="1" ht="18" customHeight="1" x14ac:dyDescent="0.25">
      <c r="A102" s="870"/>
      <c r="B102" s="879"/>
      <c r="C102" s="870"/>
      <c r="D102" s="464" t="s">
        <v>83</v>
      </c>
      <c r="E102" s="467"/>
      <c r="F102" s="468"/>
      <c r="G102" s="467"/>
      <c r="H102" s="468"/>
      <c r="I102" s="467"/>
      <c r="J102" s="468"/>
    </row>
    <row r="103" spans="1:10" s="16" customFormat="1" ht="15" customHeight="1" x14ac:dyDescent="0.25">
      <c r="A103" s="870"/>
      <c r="B103" s="879"/>
      <c r="C103" s="870"/>
      <c r="D103" s="450" t="s">
        <v>84</v>
      </c>
      <c r="E103" s="30">
        <f>1257</f>
        <v>1257</v>
      </c>
      <c r="F103" s="37">
        <f>3167640</f>
        <v>3167640</v>
      </c>
      <c r="G103" s="20"/>
      <c r="H103" s="17"/>
      <c r="I103" s="20"/>
      <c r="J103" s="17"/>
    </row>
    <row r="104" spans="1:10" s="16" customFormat="1" ht="15" customHeight="1" x14ac:dyDescent="0.25">
      <c r="A104" s="870"/>
      <c r="B104" s="879"/>
      <c r="C104" s="870"/>
      <c r="D104" s="464" t="s">
        <v>85</v>
      </c>
      <c r="E104" s="30"/>
      <c r="F104" s="37"/>
      <c r="G104" s="20"/>
      <c r="H104" s="17"/>
      <c r="I104" s="20"/>
      <c r="J104" s="17"/>
    </row>
    <row r="105" spans="1:10" s="1" customFormat="1" x14ac:dyDescent="0.25">
      <c r="A105" s="870"/>
      <c r="B105" s="879"/>
      <c r="C105" s="870"/>
      <c r="D105" s="450" t="s">
        <v>86</v>
      </c>
      <c r="E105" s="30">
        <f>329</f>
        <v>329</v>
      </c>
      <c r="F105" s="37">
        <f>829080</f>
        <v>829080</v>
      </c>
      <c r="G105" s="20"/>
      <c r="H105" s="17"/>
      <c r="I105" s="20"/>
      <c r="J105" s="17"/>
    </row>
    <row r="106" spans="1:10" s="1" customFormat="1" x14ac:dyDescent="0.25">
      <c r="A106" s="870"/>
      <c r="B106" s="879"/>
      <c r="C106" s="870"/>
      <c r="D106" s="465" t="s">
        <v>87</v>
      </c>
      <c r="E106" s="30"/>
      <c r="F106" s="37"/>
      <c r="G106" s="20"/>
      <c r="H106" s="17"/>
      <c r="I106" s="20"/>
      <c r="J106" s="17"/>
    </row>
    <row r="107" spans="1:10" s="1" customFormat="1" x14ac:dyDescent="0.25">
      <c r="A107" s="870"/>
      <c r="B107" s="879"/>
      <c r="C107" s="870"/>
      <c r="D107" s="196" t="s">
        <v>88</v>
      </c>
      <c r="E107" s="233">
        <f>101</f>
        <v>101</v>
      </c>
      <c r="F107" s="234">
        <f>254520</f>
        <v>254520</v>
      </c>
      <c r="G107" s="20"/>
      <c r="H107" s="17"/>
      <c r="I107" s="20"/>
      <c r="J107" s="17"/>
    </row>
    <row r="108" spans="1:10" s="1" customFormat="1" x14ac:dyDescent="0.25">
      <c r="A108" s="870"/>
      <c r="B108" s="879"/>
      <c r="C108" s="870"/>
      <c r="D108" s="464" t="s">
        <v>89</v>
      </c>
      <c r="E108" s="30"/>
      <c r="F108" s="37"/>
      <c r="G108" s="20"/>
      <c r="H108" s="17"/>
      <c r="I108" s="20"/>
      <c r="J108" s="17"/>
    </row>
    <row r="109" spans="1:10" s="1" customFormat="1" x14ac:dyDescent="0.25">
      <c r="A109" s="870"/>
      <c r="B109" s="879"/>
      <c r="C109" s="870"/>
      <c r="D109" s="464" t="s">
        <v>90</v>
      </c>
      <c r="E109" s="30"/>
      <c r="F109" s="37"/>
      <c r="G109" s="20"/>
      <c r="H109" s="17"/>
      <c r="I109" s="20"/>
      <c r="J109" s="17"/>
    </row>
    <row r="110" spans="1:10" s="8" customFormat="1" ht="8.25" customHeight="1" x14ac:dyDescent="0.25">
      <c r="A110" s="60"/>
      <c r="B110" s="60"/>
      <c r="C110" s="60"/>
      <c r="D110" s="60"/>
      <c r="E110" s="60"/>
      <c r="F110" s="60"/>
      <c r="G110" s="60"/>
      <c r="H110" s="60"/>
      <c r="I110" s="60"/>
      <c r="J110" s="60"/>
    </row>
    <row r="111" spans="1:10" s="123" customFormat="1" ht="8.25" customHeight="1" x14ac:dyDescent="0.25"/>
    <row r="112" spans="1:10" s="123" customFormat="1" ht="8.25" customHeight="1" x14ac:dyDescent="0.25"/>
    <row r="113" spans="1:10" s="1" customFormat="1" ht="33.75" customHeight="1" x14ac:dyDescent="0.25">
      <c r="A113" s="454" t="s">
        <v>0</v>
      </c>
      <c r="B113" s="454" t="s">
        <v>51</v>
      </c>
      <c r="C113" s="454" t="s">
        <v>4</v>
      </c>
      <c r="D113" s="458" t="s">
        <v>3</v>
      </c>
      <c r="E113" s="454" t="s">
        <v>253</v>
      </c>
      <c r="F113" s="454" t="s">
        <v>254</v>
      </c>
      <c r="G113" s="454" t="s">
        <v>253</v>
      </c>
      <c r="H113" s="454" t="s">
        <v>254</v>
      </c>
      <c r="I113" s="454" t="s">
        <v>253</v>
      </c>
      <c r="J113" s="454" t="s">
        <v>254</v>
      </c>
    </row>
    <row r="114" spans="1:10" s="1" customFormat="1" ht="21.75" customHeight="1" x14ac:dyDescent="0.25">
      <c r="A114" s="869" t="s">
        <v>317</v>
      </c>
      <c r="B114" s="867" t="s">
        <v>251</v>
      </c>
      <c r="C114" s="871"/>
      <c r="D114" s="224" t="s">
        <v>82</v>
      </c>
      <c r="E114" s="224">
        <f t="shared" ref="E114:J114" si="12">SUM(E115:E122)</f>
        <v>0</v>
      </c>
      <c r="F114" s="232">
        <f t="shared" si="12"/>
        <v>0</v>
      </c>
      <c r="G114" s="224">
        <f t="shared" si="12"/>
        <v>16</v>
      </c>
      <c r="H114" s="232">
        <f t="shared" si="12"/>
        <v>10122500</v>
      </c>
      <c r="I114" s="224">
        <f t="shared" si="12"/>
        <v>0</v>
      </c>
      <c r="J114" s="232">
        <f t="shared" si="12"/>
        <v>0</v>
      </c>
    </row>
    <row r="115" spans="1:10" s="1" customFormat="1" ht="15.75" customHeight="1" x14ac:dyDescent="0.25">
      <c r="A115" s="870"/>
      <c r="B115" s="868"/>
      <c r="C115" s="872"/>
      <c r="D115" s="395" t="s">
        <v>83</v>
      </c>
      <c r="E115" s="30"/>
      <c r="F115" s="31"/>
      <c r="G115" s="30">
        <v>4</v>
      </c>
      <c r="H115" s="31">
        <v>1275000</v>
      </c>
      <c r="I115" s="30"/>
      <c r="J115" s="31"/>
    </row>
    <row r="116" spans="1:10" s="1" customFormat="1" ht="15.75" customHeight="1" x14ac:dyDescent="0.25">
      <c r="A116" s="870"/>
      <c r="B116" s="868"/>
      <c r="C116" s="872"/>
      <c r="D116" s="395" t="s">
        <v>84</v>
      </c>
      <c r="E116" s="30"/>
      <c r="F116" s="31"/>
      <c r="G116" s="30">
        <v>5</v>
      </c>
      <c r="H116" s="31">
        <v>2210000</v>
      </c>
      <c r="I116" s="30"/>
      <c r="J116" s="31"/>
    </row>
    <row r="117" spans="1:10" s="1" customFormat="1" ht="15.75" customHeight="1" x14ac:dyDescent="0.25">
      <c r="A117" s="870"/>
      <c r="B117" s="868"/>
      <c r="C117" s="872"/>
      <c r="D117" s="395" t="s">
        <v>85</v>
      </c>
      <c r="E117" s="30"/>
      <c r="F117" s="31"/>
      <c r="G117" s="30">
        <v>3</v>
      </c>
      <c r="H117" s="31">
        <v>1312500</v>
      </c>
      <c r="I117" s="30"/>
      <c r="J117" s="31"/>
    </row>
    <row r="118" spans="1:10" s="1" customFormat="1" ht="15.75" customHeight="1" x14ac:dyDescent="0.25">
      <c r="A118" s="870"/>
      <c r="B118" s="868"/>
      <c r="C118" s="872"/>
      <c r="D118" s="465" t="s">
        <v>86</v>
      </c>
      <c r="E118" s="30"/>
      <c r="F118" s="31"/>
      <c r="G118" s="30"/>
      <c r="H118" s="31"/>
      <c r="I118" s="30"/>
      <c r="J118" s="31"/>
    </row>
    <row r="119" spans="1:10" s="1" customFormat="1" ht="15.75" customHeight="1" x14ac:dyDescent="0.25">
      <c r="A119" s="870"/>
      <c r="B119" s="868"/>
      <c r="C119" s="872"/>
      <c r="D119" s="465" t="s">
        <v>87</v>
      </c>
      <c r="E119" s="30"/>
      <c r="F119" s="31"/>
      <c r="G119" s="30">
        <v>4</v>
      </c>
      <c r="H119" s="31">
        <v>5325000</v>
      </c>
      <c r="I119" s="30"/>
      <c r="J119" s="31"/>
    </row>
    <row r="120" spans="1:10" s="1" customFormat="1" ht="15.75" customHeight="1" x14ac:dyDescent="0.25">
      <c r="A120" s="870"/>
      <c r="B120" s="868"/>
      <c r="C120" s="872"/>
      <c r="D120" s="196" t="s">
        <v>88</v>
      </c>
      <c r="E120" s="30"/>
      <c r="F120" s="31"/>
      <c r="G120" s="30"/>
      <c r="H120" s="31"/>
      <c r="I120" s="30"/>
      <c r="J120" s="31"/>
    </row>
    <row r="121" spans="1:10" s="1" customFormat="1" ht="15.75" customHeight="1" x14ac:dyDescent="0.25">
      <c r="A121" s="870"/>
      <c r="B121" s="868"/>
      <c r="C121" s="872"/>
      <c r="D121" s="465" t="s">
        <v>89</v>
      </c>
      <c r="E121" s="30"/>
      <c r="F121" s="31"/>
      <c r="G121" s="30"/>
      <c r="H121" s="31"/>
      <c r="I121" s="30"/>
      <c r="J121" s="31"/>
    </row>
    <row r="122" spans="1:10" s="1" customFormat="1" ht="15.75" customHeight="1" x14ac:dyDescent="0.25">
      <c r="A122" s="873"/>
      <c r="B122" s="874"/>
      <c r="C122" s="875"/>
      <c r="D122" s="465" t="s">
        <v>90</v>
      </c>
      <c r="E122" s="30"/>
      <c r="F122" s="31"/>
      <c r="G122" s="30"/>
      <c r="H122" s="31"/>
      <c r="I122" s="30"/>
      <c r="J122" s="31"/>
    </row>
    <row r="123" spans="1:10" x14ac:dyDescent="0.25">
      <c r="A123" t="s">
        <v>26</v>
      </c>
      <c r="B123" t="s">
        <v>28</v>
      </c>
      <c r="D123" t="s">
        <v>31</v>
      </c>
    </row>
    <row r="127" spans="1:10" x14ac:dyDescent="0.25">
      <c r="A127" t="s">
        <v>27</v>
      </c>
      <c r="B127" t="s">
        <v>29</v>
      </c>
      <c r="D127" t="s">
        <v>32</v>
      </c>
    </row>
    <row r="128" spans="1:10" x14ac:dyDescent="0.25">
      <c r="A128" t="s">
        <v>223</v>
      </c>
      <c r="B128" t="s">
        <v>30</v>
      </c>
      <c r="D128" t="s">
        <v>33</v>
      </c>
    </row>
  </sheetData>
  <mergeCells count="40">
    <mergeCell ref="A114:A122"/>
    <mergeCell ref="B114:B122"/>
    <mergeCell ref="C114:C122"/>
    <mergeCell ref="B79:B87"/>
    <mergeCell ref="B91:B99"/>
    <mergeCell ref="B101:B109"/>
    <mergeCell ref="C69:C77"/>
    <mergeCell ref="A79:A87"/>
    <mergeCell ref="C79:C87"/>
    <mergeCell ref="A101:A109"/>
    <mergeCell ref="C101:C109"/>
    <mergeCell ref="A91:A99"/>
    <mergeCell ref="C91:C99"/>
    <mergeCell ref="A69:A77"/>
    <mergeCell ref="B69:B77"/>
    <mergeCell ref="A20:A28"/>
    <mergeCell ref="B20:B28"/>
    <mergeCell ref="C20:C28"/>
    <mergeCell ref="A30:A38"/>
    <mergeCell ref="B30:B38"/>
    <mergeCell ref="C30:C38"/>
    <mergeCell ref="A49:A57"/>
    <mergeCell ref="B49:B57"/>
    <mergeCell ref="C49:C57"/>
    <mergeCell ref="A59:A67"/>
    <mergeCell ref="B59:B67"/>
    <mergeCell ref="C59:C67"/>
    <mergeCell ref="B10:B18"/>
    <mergeCell ref="A6:A7"/>
    <mergeCell ref="B6:B7"/>
    <mergeCell ref="C6:C7"/>
    <mergeCell ref="D6:D7"/>
    <mergeCell ref="A10:A18"/>
    <mergeCell ref="C10:C18"/>
    <mergeCell ref="I6:J6"/>
    <mergeCell ref="E6:F6"/>
    <mergeCell ref="A1:J1"/>
    <mergeCell ref="A2:J2"/>
    <mergeCell ref="A4:J4"/>
    <mergeCell ref="G6:H6"/>
  </mergeCells>
  <printOptions horizontalCentered="1"/>
  <pageMargins left="0.26" right="0.9" top="0.68" bottom="0.69" header="0.3" footer="0.4"/>
  <pageSetup paperSize="5" scale="80" orientation="landscape" verticalDpi="300" r:id="rId1"/>
  <headerFooter>
    <oddFooter>&amp;LLone Dist of Aurora
&amp;CPage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66"/>
  <sheetViews>
    <sheetView view="pageBreakPreview" zoomScale="70" zoomScaleNormal="80" zoomScaleSheetLayoutView="70" workbookViewId="0">
      <selection activeCell="M34" sqref="M34"/>
    </sheetView>
  </sheetViews>
  <sheetFormatPr defaultRowHeight="15" x14ac:dyDescent="0.25"/>
  <cols>
    <col min="1" max="1" width="14.28515625" customWidth="1"/>
    <col min="2" max="2" width="11.42578125" customWidth="1"/>
    <col min="3" max="3" width="23.140625" style="97" customWidth="1"/>
    <col min="4" max="4" width="12" style="97" customWidth="1"/>
    <col min="5" max="5" width="22.5703125" style="97" customWidth="1"/>
    <col min="6" max="6" width="9.5703125" customWidth="1"/>
    <col min="7" max="7" width="19.5703125" customWidth="1"/>
    <col min="8" max="8" width="11" customWidth="1"/>
    <col min="9" max="9" width="20" style="97" customWidth="1"/>
    <col min="10" max="10" width="11.5703125" customWidth="1"/>
    <col min="11" max="11" width="21" style="97" customWidth="1"/>
    <col min="12" max="12" width="11.42578125" customWidth="1"/>
    <col min="13" max="13" width="20.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359</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96"/>
      <c r="B7" s="496"/>
      <c r="C7" s="496"/>
      <c r="D7" s="496"/>
      <c r="E7" s="496"/>
      <c r="F7" s="496"/>
      <c r="G7" s="496"/>
      <c r="H7" s="496"/>
      <c r="I7" s="496"/>
      <c r="J7" s="496"/>
      <c r="K7" s="496"/>
      <c r="L7" s="496"/>
      <c r="M7" s="496"/>
    </row>
    <row r="8" spans="1:13" ht="26.25" x14ac:dyDescent="0.4">
      <c r="A8" s="503" t="s">
        <v>358</v>
      </c>
      <c r="B8" s="492"/>
      <c r="C8"/>
      <c r="D8" s="493"/>
      <c r="E8"/>
      <c r="I8"/>
      <c r="K8"/>
      <c r="M8"/>
    </row>
    <row r="9" spans="1:13" s="48" customFormat="1" ht="28.5" customHeight="1" x14ac:dyDescent="0.25">
      <c r="A9" s="906" t="s">
        <v>3</v>
      </c>
      <c r="B9" s="913" t="s">
        <v>5</v>
      </c>
      <c r="C9" s="914"/>
      <c r="D9" s="914"/>
      <c r="E9" s="915"/>
      <c r="F9" s="913" t="s">
        <v>7</v>
      </c>
      <c r="G9" s="914"/>
      <c r="H9" s="914"/>
      <c r="I9" s="915"/>
      <c r="J9" s="913" t="s">
        <v>306</v>
      </c>
      <c r="K9" s="914"/>
      <c r="L9" s="914"/>
      <c r="M9" s="915"/>
    </row>
    <row r="10" spans="1:13" ht="28.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94" t="s">
        <v>307</v>
      </c>
      <c r="C11" s="476" t="s">
        <v>60</v>
      </c>
      <c r="D11" s="494" t="s">
        <v>307</v>
      </c>
      <c r="E11" s="17" t="s">
        <v>305</v>
      </c>
      <c r="F11" s="494" t="s">
        <v>308</v>
      </c>
      <c r="G11" s="495" t="s">
        <v>60</v>
      </c>
      <c r="H11" s="494" t="s">
        <v>308</v>
      </c>
      <c r="I11" s="17" t="s">
        <v>305</v>
      </c>
      <c r="J11" s="494" t="s">
        <v>309</v>
      </c>
      <c r="K11" s="476" t="s">
        <v>60</v>
      </c>
      <c r="L11" s="494" t="s">
        <v>309</v>
      </c>
      <c r="M11" s="476" t="s">
        <v>305</v>
      </c>
    </row>
    <row r="12" spans="1:13" x14ac:dyDescent="0.25">
      <c r="A12" s="349" t="s">
        <v>81</v>
      </c>
      <c r="B12" s="477">
        <f t="shared" ref="B12:M12" si="0">SUM(B13:B20)</f>
        <v>18558</v>
      </c>
      <c r="C12" s="351">
        <f t="shared" si="0"/>
        <v>278370000</v>
      </c>
      <c r="D12" s="477">
        <f>SUM(D13:D20)</f>
        <v>19108</v>
      </c>
      <c r="E12" s="646">
        <f>SUM(E13:E20)</f>
        <v>206291700</v>
      </c>
      <c r="F12" s="477">
        <f>SUM(F13:F20)</f>
        <v>1884</v>
      </c>
      <c r="G12" s="351">
        <f>SUM(G13:G20)</f>
        <v>18840000</v>
      </c>
      <c r="H12" s="477">
        <f t="shared" si="0"/>
        <v>222</v>
      </c>
      <c r="I12" s="351">
        <f t="shared" si="0"/>
        <v>1360000</v>
      </c>
      <c r="J12" s="477">
        <f>SUM(J13:J20)</f>
        <v>6100</v>
      </c>
      <c r="K12" s="351">
        <f>SUM(K13:K20)</f>
        <v>9516000</v>
      </c>
      <c r="L12" s="350">
        <f t="shared" si="0"/>
        <v>4333</v>
      </c>
      <c r="M12" s="351">
        <f t="shared" si="0"/>
        <v>4176881</v>
      </c>
    </row>
    <row r="13" spans="1:13" x14ac:dyDescent="0.25">
      <c r="A13" s="83" t="s">
        <v>164</v>
      </c>
      <c r="B13" s="424">
        <v>3150</v>
      </c>
      <c r="C13" s="412">
        <f t="shared" ref="C13:C20" si="1">B13*15000</f>
        <v>47250000</v>
      </c>
      <c r="D13" s="774">
        <v>3129</v>
      </c>
      <c r="E13" s="777">
        <v>32568300</v>
      </c>
      <c r="F13" s="383">
        <v>380</v>
      </c>
      <c r="G13" s="384">
        <f t="shared" ref="G13:G20" si="2">F13*10000</f>
        <v>3800000</v>
      </c>
      <c r="H13" s="743"/>
      <c r="I13" s="1078"/>
      <c r="J13" s="729"/>
      <c r="K13" s="686">
        <f>J13*1560</f>
        <v>0</v>
      </c>
      <c r="L13" s="345"/>
      <c r="M13" s="344"/>
    </row>
    <row r="14" spans="1:13" x14ac:dyDescent="0.25">
      <c r="A14" s="83" t="s">
        <v>165</v>
      </c>
      <c r="B14" s="424">
        <v>4944</v>
      </c>
      <c r="C14" s="412">
        <f t="shared" si="1"/>
        <v>74160000</v>
      </c>
      <c r="D14" s="774">
        <v>5360</v>
      </c>
      <c r="E14" s="777">
        <v>56650700</v>
      </c>
      <c r="F14" s="383">
        <v>425</v>
      </c>
      <c r="G14" s="384">
        <f t="shared" si="2"/>
        <v>4250000</v>
      </c>
      <c r="H14" s="743">
        <v>28</v>
      </c>
      <c r="I14" s="1078">
        <v>140000</v>
      </c>
      <c r="J14" s="729">
        <v>1600</v>
      </c>
      <c r="K14" s="686">
        <f t="shared" ref="K14:K20" si="3">J14*1560</f>
        <v>2496000</v>
      </c>
      <c r="L14" s="345">
        <v>1520</v>
      </c>
      <c r="M14" s="344">
        <v>375440</v>
      </c>
    </row>
    <row r="15" spans="1:13" x14ac:dyDescent="0.25">
      <c r="A15" s="83" t="s">
        <v>166</v>
      </c>
      <c r="B15" s="424">
        <v>2726</v>
      </c>
      <c r="C15" s="412">
        <f t="shared" si="1"/>
        <v>40890000</v>
      </c>
      <c r="D15" s="765">
        <v>2725</v>
      </c>
      <c r="E15" s="661">
        <v>30578500</v>
      </c>
      <c r="F15" s="383">
        <v>280</v>
      </c>
      <c r="G15" s="384">
        <f t="shared" si="2"/>
        <v>2800000</v>
      </c>
      <c r="H15" s="743"/>
      <c r="I15" s="1078"/>
      <c r="J15" s="729">
        <v>1000</v>
      </c>
      <c r="K15" s="686">
        <f t="shared" si="3"/>
        <v>1560000</v>
      </c>
      <c r="L15" s="345"/>
      <c r="M15" s="344"/>
    </row>
    <row r="16" spans="1:13" x14ac:dyDescent="0.25">
      <c r="A16" s="83" t="s">
        <v>167</v>
      </c>
      <c r="B16" s="424">
        <v>2222</v>
      </c>
      <c r="C16" s="412">
        <f t="shared" si="1"/>
        <v>33330000</v>
      </c>
      <c r="D16" s="774">
        <v>2192</v>
      </c>
      <c r="E16" s="777">
        <v>25051000</v>
      </c>
      <c r="F16" s="383">
        <v>280</v>
      </c>
      <c r="G16" s="384">
        <f t="shared" si="2"/>
        <v>2800000</v>
      </c>
      <c r="H16" s="743"/>
      <c r="I16" s="1078"/>
      <c r="J16" s="729">
        <v>700</v>
      </c>
      <c r="K16" s="686">
        <f t="shared" si="3"/>
        <v>1092000</v>
      </c>
      <c r="L16" s="345"/>
      <c r="M16" s="344"/>
    </row>
    <row r="17" spans="1:13" x14ac:dyDescent="0.25">
      <c r="A17" s="83" t="s">
        <v>168</v>
      </c>
      <c r="B17" s="424">
        <v>1238</v>
      </c>
      <c r="C17" s="412">
        <f t="shared" si="1"/>
        <v>18570000</v>
      </c>
      <c r="D17" s="774">
        <v>1304</v>
      </c>
      <c r="E17" s="777">
        <v>14218000</v>
      </c>
      <c r="F17" s="383">
        <v>220</v>
      </c>
      <c r="G17" s="384">
        <f t="shared" si="2"/>
        <v>2200000</v>
      </c>
      <c r="H17" s="743">
        <v>193</v>
      </c>
      <c r="I17" s="1078">
        <v>1210000</v>
      </c>
      <c r="J17" s="729">
        <v>500</v>
      </c>
      <c r="K17" s="686">
        <f t="shared" si="3"/>
        <v>780000</v>
      </c>
      <c r="L17" s="345">
        <v>745</v>
      </c>
      <c r="M17" s="344">
        <v>823225</v>
      </c>
    </row>
    <row r="18" spans="1:13" x14ac:dyDescent="0.25">
      <c r="A18" s="83" t="s">
        <v>169</v>
      </c>
      <c r="B18" s="424">
        <v>2104</v>
      </c>
      <c r="C18" s="412">
        <f t="shared" si="1"/>
        <v>31560000</v>
      </c>
      <c r="D18" s="774">
        <v>2070</v>
      </c>
      <c r="E18" s="777">
        <v>22524900</v>
      </c>
      <c r="F18" s="383">
        <v>135</v>
      </c>
      <c r="G18" s="384">
        <f t="shared" si="2"/>
        <v>1350000</v>
      </c>
      <c r="H18" s="743"/>
      <c r="I18" s="1078"/>
      <c r="J18" s="729">
        <v>1000</v>
      </c>
      <c r="K18" s="686">
        <f t="shared" si="3"/>
        <v>1560000</v>
      </c>
      <c r="L18" s="345">
        <v>756</v>
      </c>
      <c r="M18" s="344">
        <v>835380</v>
      </c>
    </row>
    <row r="19" spans="1:13" x14ac:dyDescent="0.25">
      <c r="A19" s="83" t="s">
        <v>170</v>
      </c>
      <c r="B19" s="424">
        <v>1374</v>
      </c>
      <c r="C19" s="412">
        <f t="shared" si="1"/>
        <v>20610000</v>
      </c>
      <c r="D19" s="774">
        <v>1363</v>
      </c>
      <c r="E19" s="777">
        <v>14453300</v>
      </c>
      <c r="F19" s="383">
        <v>114</v>
      </c>
      <c r="G19" s="384">
        <f t="shared" si="2"/>
        <v>1140000</v>
      </c>
      <c r="H19" s="743">
        <v>1</v>
      </c>
      <c r="I19" s="1078">
        <v>10000</v>
      </c>
      <c r="J19" s="729">
        <v>700</v>
      </c>
      <c r="K19" s="686">
        <f t="shared" si="3"/>
        <v>1092000</v>
      </c>
      <c r="L19" s="345">
        <v>792</v>
      </c>
      <c r="M19" s="344">
        <v>1226160</v>
      </c>
    </row>
    <row r="20" spans="1:13" x14ac:dyDescent="0.25">
      <c r="A20" s="83" t="s">
        <v>171</v>
      </c>
      <c r="B20" s="424">
        <v>800</v>
      </c>
      <c r="C20" s="412">
        <f t="shared" si="1"/>
        <v>12000000</v>
      </c>
      <c r="D20" s="774">
        <v>965</v>
      </c>
      <c r="E20" s="777">
        <v>10247000</v>
      </c>
      <c r="F20" s="383">
        <v>50</v>
      </c>
      <c r="G20" s="384">
        <f t="shared" si="2"/>
        <v>500000</v>
      </c>
      <c r="H20" s="30"/>
      <c r="I20" s="384"/>
      <c r="J20" s="729">
        <v>600</v>
      </c>
      <c r="K20" s="686">
        <f t="shared" si="3"/>
        <v>936000</v>
      </c>
      <c r="L20" s="345">
        <v>520</v>
      </c>
      <c r="M20" s="344">
        <v>916676</v>
      </c>
    </row>
    <row r="22" spans="1:13" s="48" customFormat="1" ht="28.5" customHeight="1" x14ac:dyDescent="0.25">
      <c r="A22" s="906" t="s">
        <v>3</v>
      </c>
      <c r="B22" s="913" t="s">
        <v>16</v>
      </c>
      <c r="C22" s="914"/>
      <c r="D22" s="914"/>
      <c r="E22" s="915"/>
      <c r="F22" s="913" t="s">
        <v>421</v>
      </c>
      <c r="G22" s="914"/>
      <c r="H22" s="914"/>
      <c r="I22" s="915"/>
      <c r="J22" s="913" t="s">
        <v>329</v>
      </c>
      <c r="K22" s="914"/>
      <c r="L22" s="914"/>
      <c r="M22" s="915"/>
    </row>
    <row r="23" spans="1:13" ht="25.5" customHeight="1" x14ac:dyDescent="0.25">
      <c r="A23" s="906"/>
      <c r="B23" s="899" t="s">
        <v>327</v>
      </c>
      <c r="C23" s="899"/>
      <c r="D23" s="900" t="s">
        <v>333</v>
      </c>
      <c r="E23" s="901"/>
      <c r="F23" s="899" t="s">
        <v>327</v>
      </c>
      <c r="G23" s="899"/>
      <c r="H23" s="900" t="s">
        <v>333</v>
      </c>
      <c r="I23" s="901"/>
      <c r="J23" s="899" t="s">
        <v>327</v>
      </c>
      <c r="K23" s="899"/>
      <c r="L23" s="900" t="s">
        <v>333</v>
      </c>
      <c r="M23" s="901"/>
    </row>
    <row r="24" spans="1:13" ht="45" customHeight="1" x14ac:dyDescent="0.25">
      <c r="A24" s="906"/>
      <c r="B24" s="494" t="s">
        <v>330</v>
      </c>
      <c r="C24" s="476" t="s">
        <v>60</v>
      </c>
      <c r="D24" s="494" t="s">
        <v>330</v>
      </c>
      <c r="E24" s="17" t="s">
        <v>305</v>
      </c>
      <c r="F24" s="494" t="s">
        <v>253</v>
      </c>
      <c r="G24" s="495" t="s">
        <v>60</v>
      </c>
      <c r="H24" s="494" t="s">
        <v>253</v>
      </c>
      <c r="I24" s="17" t="s">
        <v>305</v>
      </c>
      <c r="J24" s="494" t="s">
        <v>310</v>
      </c>
      <c r="K24" s="476" t="s">
        <v>60</v>
      </c>
      <c r="L24" s="494" t="s">
        <v>310</v>
      </c>
      <c r="M24" s="17" t="s">
        <v>305</v>
      </c>
    </row>
    <row r="25" spans="1:13" x14ac:dyDescent="0.25">
      <c r="A25" s="349" t="s">
        <v>81</v>
      </c>
      <c r="B25" s="477">
        <f t="shared" ref="B25:M25" si="4">SUM(B26:B33)</f>
        <v>2865</v>
      </c>
      <c r="C25" s="351">
        <f t="shared" si="4"/>
        <v>17190000</v>
      </c>
      <c r="D25" s="477">
        <f t="shared" si="4"/>
        <v>4610</v>
      </c>
      <c r="E25" s="351">
        <f t="shared" si="4"/>
        <v>27660000</v>
      </c>
      <c r="F25" s="477">
        <f t="shared" si="4"/>
        <v>17</v>
      </c>
      <c r="G25" s="351">
        <f t="shared" si="4"/>
        <v>19826521.740000002</v>
      </c>
      <c r="H25" s="477">
        <f t="shared" si="4"/>
        <v>0</v>
      </c>
      <c r="I25" s="351">
        <f t="shared" si="4"/>
        <v>0</v>
      </c>
      <c r="J25" s="477">
        <f t="shared" si="4"/>
        <v>0</v>
      </c>
      <c r="K25" s="351">
        <f t="shared" si="4"/>
        <v>0</v>
      </c>
      <c r="L25" s="350">
        <f t="shared" si="4"/>
        <v>1809</v>
      </c>
      <c r="M25" s="351">
        <f t="shared" si="4"/>
        <v>7176538</v>
      </c>
    </row>
    <row r="26" spans="1:13" x14ac:dyDescent="0.25">
      <c r="A26" s="83" t="s">
        <v>164</v>
      </c>
      <c r="B26" s="729">
        <v>413</v>
      </c>
      <c r="C26" s="686">
        <f t="shared" ref="C26:C33" si="5">B26*500*12</f>
        <v>2478000</v>
      </c>
      <c r="D26" s="30">
        <v>785</v>
      </c>
      <c r="E26" s="384">
        <f>D26*6000</f>
        <v>4710000</v>
      </c>
      <c r="F26" s="383">
        <f>2</f>
        <v>2</v>
      </c>
      <c r="G26" s="384">
        <f>400000+1500000</f>
        <v>1900000</v>
      </c>
      <c r="H26" s="30"/>
      <c r="I26" s="384"/>
      <c r="J26" s="478"/>
      <c r="K26" s="386"/>
      <c r="L26" s="739">
        <v>155</v>
      </c>
      <c r="M26" s="740">
        <v>724531</v>
      </c>
    </row>
    <row r="27" spans="1:13" x14ac:dyDescent="0.25">
      <c r="A27" s="83" t="s">
        <v>165</v>
      </c>
      <c r="B27" s="729">
        <v>457</v>
      </c>
      <c r="C27" s="686">
        <f t="shared" si="5"/>
        <v>2742000</v>
      </c>
      <c r="D27" s="30">
        <v>698</v>
      </c>
      <c r="E27" s="384">
        <f t="shared" ref="E27:E33" si="6">D27*6000</f>
        <v>4188000</v>
      </c>
      <c r="F27" s="383">
        <f>2</f>
        <v>2</v>
      </c>
      <c r="G27" s="384">
        <f>2500000+4000000</f>
        <v>6500000</v>
      </c>
      <c r="H27" s="30"/>
      <c r="I27" s="384"/>
      <c r="J27" s="478"/>
      <c r="K27" s="386"/>
      <c r="L27" s="739">
        <v>355</v>
      </c>
      <c r="M27" s="740">
        <v>1455300</v>
      </c>
    </row>
    <row r="28" spans="1:13" x14ac:dyDescent="0.25">
      <c r="A28" s="83" t="s">
        <v>166</v>
      </c>
      <c r="B28" s="729">
        <v>338</v>
      </c>
      <c r="C28" s="686">
        <f t="shared" si="5"/>
        <v>2028000</v>
      </c>
      <c r="D28" s="30">
        <v>438</v>
      </c>
      <c r="E28" s="384">
        <f t="shared" si="6"/>
        <v>2628000</v>
      </c>
      <c r="F28" s="383">
        <v>4</v>
      </c>
      <c r="G28" s="384">
        <v>2500000</v>
      </c>
      <c r="H28" s="30"/>
      <c r="I28" s="384"/>
      <c r="J28" s="478"/>
      <c r="K28" s="386"/>
      <c r="L28" s="739">
        <v>577</v>
      </c>
      <c r="M28" s="740">
        <v>2041100</v>
      </c>
    </row>
    <row r="29" spans="1:13" x14ac:dyDescent="0.25">
      <c r="A29" s="83" t="s">
        <v>167</v>
      </c>
      <c r="B29" s="729">
        <v>318</v>
      </c>
      <c r="C29" s="686">
        <f t="shared" si="5"/>
        <v>1908000</v>
      </c>
      <c r="D29" s="30">
        <v>459</v>
      </c>
      <c r="E29" s="384">
        <f t="shared" si="6"/>
        <v>2754000</v>
      </c>
      <c r="F29" s="383">
        <v>2</v>
      </c>
      <c r="G29" s="384">
        <f>1130434.78+1826086.96</f>
        <v>2956521.74</v>
      </c>
      <c r="H29" s="30"/>
      <c r="I29" s="384"/>
      <c r="J29" s="478"/>
      <c r="K29" s="386"/>
      <c r="L29" s="739">
        <v>139</v>
      </c>
      <c r="M29" s="740">
        <v>614243</v>
      </c>
    </row>
    <row r="30" spans="1:13" x14ac:dyDescent="0.25">
      <c r="A30" s="83" t="s">
        <v>168</v>
      </c>
      <c r="B30" s="729">
        <v>354</v>
      </c>
      <c r="C30" s="686">
        <f t="shared" si="5"/>
        <v>2124000</v>
      </c>
      <c r="D30" s="30">
        <v>705</v>
      </c>
      <c r="E30" s="384">
        <f t="shared" si="6"/>
        <v>4230000</v>
      </c>
      <c r="F30" s="383">
        <v>3</v>
      </c>
      <c r="G30" s="384">
        <f>970000+500000+500000</f>
        <v>1970000</v>
      </c>
      <c r="H30" s="30"/>
      <c r="I30" s="384"/>
      <c r="J30" s="478"/>
      <c r="K30" s="386"/>
      <c r="L30" s="739">
        <v>168</v>
      </c>
      <c r="M30" s="740">
        <v>587324</v>
      </c>
    </row>
    <row r="31" spans="1:13" x14ac:dyDescent="0.25">
      <c r="A31" s="83" t="s">
        <v>169</v>
      </c>
      <c r="B31" s="729">
        <v>348</v>
      </c>
      <c r="C31" s="686">
        <f t="shared" si="5"/>
        <v>2088000</v>
      </c>
      <c r="D31" s="30">
        <v>635</v>
      </c>
      <c r="E31" s="384">
        <f t="shared" si="6"/>
        <v>3810000</v>
      </c>
      <c r="F31" s="383">
        <v>1</v>
      </c>
      <c r="G31" s="384">
        <v>850000</v>
      </c>
      <c r="H31" s="30"/>
      <c r="I31" s="384"/>
      <c r="J31" s="478"/>
      <c r="K31" s="386"/>
      <c r="L31" s="739">
        <v>57</v>
      </c>
      <c r="M31" s="740">
        <v>252500</v>
      </c>
    </row>
    <row r="32" spans="1:13" x14ac:dyDescent="0.25">
      <c r="A32" s="83" t="s">
        <v>170</v>
      </c>
      <c r="B32" s="729">
        <v>327</v>
      </c>
      <c r="C32" s="686">
        <f t="shared" si="5"/>
        <v>1962000</v>
      </c>
      <c r="D32" s="30">
        <v>407</v>
      </c>
      <c r="E32" s="384">
        <f t="shared" si="6"/>
        <v>2442000</v>
      </c>
      <c r="F32" s="383">
        <v>3</v>
      </c>
      <c r="G32" s="384">
        <v>3150000</v>
      </c>
      <c r="H32" s="30"/>
      <c r="I32" s="384"/>
      <c r="J32" s="478"/>
      <c r="K32" s="386"/>
      <c r="L32" s="739">
        <v>142</v>
      </c>
      <c r="M32" s="740">
        <v>658840</v>
      </c>
    </row>
    <row r="33" spans="1:13" x14ac:dyDescent="0.25">
      <c r="A33" s="83" t="s">
        <v>171</v>
      </c>
      <c r="B33" s="729">
        <v>310</v>
      </c>
      <c r="C33" s="686">
        <f t="shared" si="5"/>
        <v>1860000</v>
      </c>
      <c r="D33" s="30">
        <v>483</v>
      </c>
      <c r="E33" s="384">
        <f t="shared" si="6"/>
        <v>2898000</v>
      </c>
      <c r="F33" s="383"/>
      <c r="G33" s="384"/>
      <c r="H33" s="30"/>
      <c r="I33" s="384"/>
      <c r="J33" s="478"/>
      <c r="K33" s="386"/>
      <c r="L33" s="739">
        <v>216</v>
      </c>
      <c r="M33" s="740">
        <v>842700</v>
      </c>
    </row>
    <row r="34" spans="1:13" x14ac:dyDescent="0.25">
      <c r="A34" s="116"/>
      <c r="B34" s="511"/>
      <c r="C34" s="58"/>
      <c r="D34" s="562"/>
      <c r="E34" s="58"/>
      <c r="F34" s="562"/>
      <c r="G34" s="58"/>
      <c r="H34" s="117"/>
      <c r="I34" s="510"/>
      <c r="J34" s="512"/>
      <c r="K34" s="513"/>
      <c r="L34" s="514"/>
      <c r="M34" s="475"/>
    </row>
    <row r="35" spans="1:13" x14ac:dyDescent="0.25">
      <c r="A35" s="116"/>
      <c r="B35" s="511"/>
      <c r="C35" s="58"/>
      <c r="D35" s="562"/>
      <c r="E35" s="58"/>
      <c r="F35" s="562"/>
      <c r="G35" s="58"/>
      <c r="H35" s="117"/>
      <c r="I35" s="510"/>
      <c r="J35" s="512"/>
      <c r="K35" s="513"/>
      <c r="L35" s="514"/>
      <c r="M35" s="475"/>
    </row>
    <row r="36" spans="1:13" x14ac:dyDescent="0.25">
      <c r="A36" s="116"/>
      <c r="B36" s="511"/>
      <c r="C36" s="58"/>
      <c r="D36" s="562"/>
      <c r="E36" s="58"/>
      <c r="F36" s="562"/>
      <c r="G36" s="58"/>
      <c r="H36" s="117"/>
      <c r="I36" s="510"/>
      <c r="J36" s="512"/>
      <c r="K36" s="513"/>
      <c r="L36" s="514"/>
      <c r="M36" s="475"/>
    </row>
    <row r="37" spans="1:13" x14ac:dyDescent="0.25">
      <c r="A37" s="116"/>
      <c r="B37" s="511"/>
      <c r="C37" s="58"/>
      <c r="D37" s="562"/>
      <c r="E37" s="58"/>
      <c r="F37" s="562"/>
      <c r="G37" s="58"/>
      <c r="H37" s="117"/>
      <c r="I37" s="510"/>
      <c r="J37" s="512"/>
      <c r="K37" s="513"/>
      <c r="L37" s="514"/>
      <c r="M37" s="475"/>
    </row>
    <row r="38" spans="1:13" x14ac:dyDescent="0.25">
      <c r="A38" s="116"/>
      <c r="B38" s="511"/>
      <c r="C38" s="58"/>
      <c r="D38" s="562"/>
      <c r="E38" s="58"/>
      <c r="F38" s="562"/>
      <c r="G38" s="58"/>
      <c r="H38" s="117"/>
      <c r="I38" s="510"/>
      <c r="J38" s="512"/>
      <c r="K38" s="513"/>
      <c r="L38" s="514"/>
      <c r="M38" s="475"/>
    </row>
    <row r="39" spans="1:13" x14ac:dyDescent="0.25">
      <c r="A39" s="116"/>
      <c r="B39" s="511"/>
      <c r="C39" s="58"/>
      <c r="D39" s="562"/>
      <c r="E39" s="58"/>
      <c r="F39" s="562"/>
      <c r="G39" s="58"/>
      <c r="H39" s="117"/>
      <c r="I39" s="510"/>
      <c r="J39" s="512"/>
      <c r="K39" s="513"/>
      <c r="L39" s="514"/>
      <c r="M39" s="475"/>
    </row>
    <row r="40" spans="1:13" x14ac:dyDescent="0.25">
      <c r="A40" s="116"/>
      <c r="B40" s="511"/>
      <c r="C40" s="58"/>
      <c r="D40" s="562"/>
      <c r="E40" s="58"/>
      <c r="F40" s="562"/>
      <c r="G40" s="58"/>
      <c r="H40" s="117"/>
      <c r="I40" s="510"/>
      <c r="J40" s="512"/>
      <c r="K40" s="513"/>
      <c r="L40" s="514"/>
      <c r="M40" s="475"/>
    </row>
    <row r="42" spans="1:13" s="48" customFormat="1" ht="28.5" customHeight="1" x14ac:dyDescent="0.25">
      <c r="A42" s="906" t="s">
        <v>3</v>
      </c>
      <c r="B42" s="913" t="s">
        <v>331</v>
      </c>
      <c r="C42" s="914"/>
      <c r="D42" s="914"/>
      <c r="E42" s="915"/>
      <c r="F42" s="913" t="s">
        <v>375</v>
      </c>
      <c r="G42" s="914"/>
      <c r="H42" s="914"/>
      <c r="I42" s="915"/>
      <c r="J42" s="913" t="s">
        <v>390</v>
      </c>
      <c r="K42" s="914"/>
      <c r="L42" s="914"/>
      <c r="M42" s="915"/>
    </row>
    <row r="43" spans="1:13" ht="24.75" customHeight="1" x14ac:dyDescent="0.25">
      <c r="A43" s="906"/>
      <c r="B43" s="899" t="s">
        <v>327</v>
      </c>
      <c r="C43" s="899"/>
      <c r="D43" s="900" t="s">
        <v>333</v>
      </c>
      <c r="E43" s="901"/>
      <c r="F43" s="899" t="s">
        <v>327</v>
      </c>
      <c r="G43" s="899"/>
      <c r="H43" s="900" t="s">
        <v>333</v>
      </c>
      <c r="I43" s="901"/>
      <c r="J43" s="899" t="s">
        <v>327</v>
      </c>
      <c r="K43" s="899"/>
      <c r="L43" s="900" t="s">
        <v>333</v>
      </c>
      <c r="M43" s="901"/>
    </row>
    <row r="44" spans="1:13" ht="45" customHeight="1" x14ac:dyDescent="0.25">
      <c r="A44" s="906"/>
      <c r="B44" s="494" t="s">
        <v>308</v>
      </c>
      <c r="C44" s="476" t="s">
        <v>60</v>
      </c>
      <c r="D44" s="494" t="s">
        <v>332</v>
      </c>
      <c r="E44" s="17" t="s">
        <v>305</v>
      </c>
      <c r="F44" s="494" t="s">
        <v>308</v>
      </c>
      <c r="G44" s="495" t="s">
        <v>60</v>
      </c>
      <c r="H44" s="494" t="s">
        <v>253</v>
      </c>
      <c r="I44" s="17" t="s">
        <v>305</v>
      </c>
      <c r="J44" s="560" t="s">
        <v>310</v>
      </c>
      <c r="K44" s="476" t="s">
        <v>60</v>
      </c>
      <c r="L44" s="560" t="s">
        <v>310</v>
      </c>
      <c r="M44" s="17" t="s">
        <v>305</v>
      </c>
    </row>
    <row r="45" spans="1:13" x14ac:dyDescent="0.25">
      <c r="A45" s="349" t="s">
        <v>81</v>
      </c>
      <c r="B45" s="477">
        <f t="shared" ref="B45:E45" si="7">SUM(B46:B54)</f>
        <v>0</v>
      </c>
      <c r="C45" s="351">
        <f t="shared" si="7"/>
        <v>0</v>
      </c>
      <c r="D45" s="477">
        <f t="shared" si="7"/>
        <v>13</v>
      </c>
      <c r="E45" s="351">
        <f t="shared" si="7"/>
        <v>46299</v>
      </c>
      <c r="F45" s="477">
        <f>SUM(F46:F54)</f>
        <v>0</v>
      </c>
      <c r="G45" s="351">
        <f>SUM(G46:G54)</f>
        <v>0</v>
      </c>
      <c r="H45" s="655">
        <f>SUM(H46:H54)</f>
        <v>0</v>
      </c>
      <c r="I45" s="656">
        <f>SUM(I46:I54)</f>
        <v>0</v>
      </c>
      <c r="J45" s="477">
        <f t="shared" ref="J45:M45" si="8">SUM(J46:J53)</f>
        <v>0</v>
      </c>
      <c r="K45" s="351">
        <f t="shared" si="8"/>
        <v>0</v>
      </c>
      <c r="L45" s="350">
        <f t="shared" si="8"/>
        <v>0</v>
      </c>
      <c r="M45" s="351">
        <f t="shared" si="8"/>
        <v>0</v>
      </c>
    </row>
    <row r="46" spans="1:13" x14ac:dyDescent="0.25">
      <c r="A46" s="83" t="s">
        <v>164</v>
      </c>
      <c r="B46" s="494"/>
      <c r="C46" s="17"/>
      <c r="D46" s="739">
        <v>3</v>
      </c>
      <c r="E46" s="740">
        <v>11000</v>
      </c>
      <c r="F46" s="30"/>
      <c r="G46" s="384"/>
      <c r="H46" s="30"/>
      <c r="I46" s="384"/>
      <c r="J46" s="478"/>
      <c r="K46" s="386"/>
      <c r="L46" s="345"/>
      <c r="M46" s="344"/>
    </row>
    <row r="47" spans="1:13" x14ac:dyDescent="0.25">
      <c r="A47" s="83" t="s">
        <v>165</v>
      </c>
      <c r="B47" s="494"/>
      <c r="C47" s="17"/>
      <c r="D47" s="739">
        <v>2</v>
      </c>
      <c r="E47" s="740">
        <v>8000</v>
      </c>
      <c r="F47" s="30"/>
      <c r="G47" s="384"/>
      <c r="H47" s="30"/>
      <c r="I47" s="384"/>
      <c r="J47" s="478"/>
      <c r="K47" s="386"/>
      <c r="L47" s="345"/>
      <c r="M47" s="344"/>
    </row>
    <row r="48" spans="1:13" x14ac:dyDescent="0.25">
      <c r="A48" s="83" t="s">
        <v>166</v>
      </c>
      <c r="B48" s="494"/>
      <c r="C48" s="17"/>
      <c r="D48" s="739">
        <v>2</v>
      </c>
      <c r="E48" s="740">
        <v>6500</v>
      </c>
      <c r="F48" s="30"/>
      <c r="G48" s="384"/>
      <c r="H48" s="30"/>
      <c r="I48" s="384"/>
      <c r="J48" s="478"/>
      <c r="K48" s="386"/>
      <c r="L48" s="345"/>
      <c r="M48" s="344"/>
    </row>
    <row r="49" spans="1:13" x14ac:dyDescent="0.25">
      <c r="A49" s="83" t="s">
        <v>167</v>
      </c>
      <c r="B49" s="494"/>
      <c r="C49" s="17"/>
      <c r="D49" s="739"/>
      <c r="E49" s="740"/>
      <c r="F49" s="30"/>
      <c r="G49" s="384"/>
      <c r="H49" s="30"/>
      <c r="I49" s="384"/>
      <c r="J49" s="478"/>
      <c r="K49" s="386"/>
      <c r="L49" s="345"/>
      <c r="M49" s="344"/>
    </row>
    <row r="50" spans="1:13" x14ac:dyDescent="0.25">
      <c r="A50" s="83" t="s">
        <v>168</v>
      </c>
      <c r="B50" s="494"/>
      <c r="C50" s="17"/>
      <c r="D50" s="739"/>
      <c r="E50" s="740"/>
      <c r="F50" s="30"/>
      <c r="G50" s="384"/>
      <c r="H50" s="30"/>
      <c r="I50" s="384"/>
      <c r="J50" s="478"/>
      <c r="K50" s="386"/>
      <c r="L50" s="345"/>
      <c r="M50" s="344"/>
    </row>
    <row r="51" spans="1:13" x14ac:dyDescent="0.25">
      <c r="A51" s="83" t="s">
        <v>169</v>
      </c>
      <c r="B51" s="494"/>
      <c r="C51" s="17"/>
      <c r="D51" s="739">
        <v>1</v>
      </c>
      <c r="E51" s="740">
        <v>5000</v>
      </c>
      <c r="F51" s="30"/>
      <c r="G51" s="384"/>
      <c r="H51" s="30"/>
      <c r="I51" s="384"/>
      <c r="J51" s="478"/>
      <c r="K51" s="386"/>
      <c r="L51" s="345"/>
      <c r="M51" s="344"/>
    </row>
    <row r="52" spans="1:13" x14ac:dyDescent="0.25">
      <c r="A52" s="83" t="s">
        <v>170</v>
      </c>
      <c r="B52" s="494"/>
      <c r="C52" s="17"/>
      <c r="D52" s="739">
        <v>1</v>
      </c>
      <c r="E52" s="740">
        <v>5000</v>
      </c>
      <c r="F52" s="30"/>
      <c r="G52" s="384"/>
      <c r="H52" s="30"/>
      <c r="I52" s="384"/>
      <c r="J52" s="478"/>
      <c r="K52" s="386"/>
      <c r="L52" s="345"/>
      <c r="M52" s="344"/>
    </row>
    <row r="53" spans="1:13" x14ac:dyDescent="0.25">
      <c r="A53" s="83" t="s">
        <v>171</v>
      </c>
      <c r="B53" s="494"/>
      <c r="C53" s="17"/>
      <c r="D53" s="739">
        <v>4</v>
      </c>
      <c r="E53" s="740">
        <v>10799</v>
      </c>
      <c r="F53" s="30"/>
      <c r="G53" s="384"/>
      <c r="H53" s="30"/>
      <c r="I53" s="384"/>
      <c r="J53" s="478"/>
      <c r="K53" s="386"/>
      <c r="L53" s="345"/>
      <c r="M53" s="344"/>
    </row>
    <row r="55" spans="1:13" x14ac:dyDescent="0.25">
      <c r="A55" s="906" t="s">
        <v>3</v>
      </c>
      <c r="B55" s="913" t="s">
        <v>391</v>
      </c>
      <c r="C55" s="914"/>
      <c r="D55" s="914"/>
      <c r="E55" s="915"/>
      <c r="F55" s="913" t="s">
        <v>418</v>
      </c>
      <c r="G55" s="914"/>
      <c r="H55" s="914"/>
      <c r="I55" s="915"/>
      <c r="J55" s="913" t="s">
        <v>81</v>
      </c>
      <c r="K55" s="914"/>
      <c r="L55" s="914"/>
      <c r="M55" s="915"/>
    </row>
    <row r="56" spans="1:13" x14ac:dyDescent="0.25">
      <c r="A56" s="906"/>
      <c r="B56" s="899" t="s">
        <v>327</v>
      </c>
      <c r="C56" s="899"/>
      <c r="D56" s="900" t="s">
        <v>333</v>
      </c>
      <c r="E56" s="901"/>
      <c r="F56" s="899" t="s">
        <v>327</v>
      </c>
      <c r="G56" s="899"/>
      <c r="H56" s="900" t="s">
        <v>333</v>
      </c>
      <c r="I56" s="901"/>
      <c r="J56" s="907" t="s">
        <v>60</v>
      </c>
      <c r="K56" s="908"/>
      <c r="L56" s="907" t="s">
        <v>305</v>
      </c>
      <c r="M56" s="908"/>
    </row>
    <row r="57" spans="1:13" ht="30" x14ac:dyDescent="0.25">
      <c r="A57" s="906"/>
      <c r="B57" s="567" t="s">
        <v>308</v>
      </c>
      <c r="C57" s="566" t="s">
        <v>60</v>
      </c>
      <c r="D57" s="567" t="s">
        <v>253</v>
      </c>
      <c r="E57" s="17" t="s">
        <v>305</v>
      </c>
      <c r="F57" s="634" t="s">
        <v>308</v>
      </c>
      <c r="G57" s="633" t="s">
        <v>60</v>
      </c>
      <c r="H57" s="634" t="s">
        <v>253</v>
      </c>
      <c r="I57" s="17" t="s">
        <v>305</v>
      </c>
      <c r="J57" s="909"/>
      <c r="K57" s="910"/>
      <c r="L57" s="909"/>
      <c r="M57" s="910"/>
    </row>
    <row r="58" spans="1:13" x14ac:dyDescent="0.25">
      <c r="A58" s="349" t="s">
        <v>81</v>
      </c>
      <c r="B58" s="477">
        <f t="shared" ref="B58:I58" si="9">SUM(B59:B67)</f>
        <v>0</v>
      </c>
      <c r="C58" s="351">
        <f t="shared" si="9"/>
        <v>0</v>
      </c>
      <c r="D58" s="477">
        <f t="shared" si="9"/>
        <v>0</v>
      </c>
      <c r="E58" s="351">
        <f t="shared" si="9"/>
        <v>0</v>
      </c>
      <c r="F58" s="477">
        <f t="shared" si="9"/>
        <v>0</v>
      </c>
      <c r="G58" s="351">
        <f t="shared" si="9"/>
        <v>0</v>
      </c>
      <c r="H58" s="477">
        <f t="shared" si="9"/>
        <v>0</v>
      </c>
      <c r="I58" s="351">
        <f t="shared" si="9"/>
        <v>0</v>
      </c>
      <c r="J58" s="904">
        <f>SUM(J59:K66)</f>
        <v>343742521.74000001</v>
      </c>
      <c r="K58" s="905"/>
      <c r="L58" s="904">
        <f>SUM(L59:M66)</f>
        <v>246711418</v>
      </c>
      <c r="M58" s="905"/>
    </row>
    <row r="59" spans="1:13" x14ac:dyDescent="0.25">
      <c r="A59" s="83" t="s">
        <v>164</v>
      </c>
      <c r="B59" s="30"/>
      <c r="C59" s="384"/>
      <c r="D59" s="30"/>
      <c r="E59" s="384"/>
      <c r="F59" s="30"/>
      <c r="G59" s="384"/>
      <c r="H59" s="30"/>
      <c r="I59" s="384"/>
      <c r="J59" s="902">
        <f t="shared" ref="J59:J66" si="10">C13+G13+K13+C26+G26+K26+C46+G46+K46+C59+G59</f>
        <v>55428000</v>
      </c>
      <c r="K59" s="903"/>
      <c r="L59" s="902">
        <f t="shared" ref="L59:L66" si="11">E13+I13+M13+E26+I26+M26+E46+I46+M46+E59+I59</f>
        <v>38013831</v>
      </c>
      <c r="M59" s="903"/>
    </row>
    <row r="60" spans="1:13" x14ac:dyDescent="0.25">
      <c r="A60" s="83" t="s">
        <v>165</v>
      </c>
      <c r="B60" s="30"/>
      <c r="C60" s="384"/>
      <c r="D60" s="30"/>
      <c r="E60" s="384"/>
      <c r="F60" s="30"/>
      <c r="G60" s="384"/>
      <c r="H60" s="30"/>
      <c r="I60" s="384"/>
      <c r="J60" s="902">
        <f t="shared" si="10"/>
        <v>90148000</v>
      </c>
      <c r="K60" s="903"/>
      <c r="L60" s="902">
        <f t="shared" si="11"/>
        <v>62817440</v>
      </c>
      <c r="M60" s="903"/>
    </row>
    <row r="61" spans="1:13" x14ac:dyDescent="0.25">
      <c r="A61" s="83" t="s">
        <v>166</v>
      </c>
      <c r="B61" s="30"/>
      <c r="C61" s="384"/>
      <c r="D61" s="30"/>
      <c r="E61" s="384"/>
      <c r="F61" s="30"/>
      <c r="G61" s="384"/>
      <c r="H61" s="30"/>
      <c r="I61" s="384"/>
      <c r="J61" s="902">
        <f t="shared" si="10"/>
        <v>49778000</v>
      </c>
      <c r="K61" s="903"/>
      <c r="L61" s="902">
        <f t="shared" si="11"/>
        <v>35254100</v>
      </c>
      <c r="M61" s="903"/>
    </row>
    <row r="62" spans="1:13" x14ac:dyDescent="0.25">
      <c r="A62" s="83" t="s">
        <v>167</v>
      </c>
      <c r="B62" s="30"/>
      <c r="C62" s="384"/>
      <c r="D62" s="30"/>
      <c r="E62" s="384"/>
      <c r="F62" s="30"/>
      <c r="G62" s="384"/>
      <c r="H62" s="30"/>
      <c r="I62" s="384"/>
      <c r="J62" s="902">
        <f t="shared" si="10"/>
        <v>42086521.740000002</v>
      </c>
      <c r="K62" s="903"/>
      <c r="L62" s="902">
        <f t="shared" si="11"/>
        <v>28419243</v>
      </c>
      <c r="M62" s="903"/>
    </row>
    <row r="63" spans="1:13" x14ac:dyDescent="0.25">
      <c r="A63" s="83" t="s">
        <v>168</v>
      </c>
      <c r="B63" s="30"/>
      <c r="C63" s="384"/>
      <c r="D63" s="30"/>
      <c r="E63" s="384"/>
      <c r="F63" s="30"/>
      <c r="G63" s="384"/>
      <c r="H63" s="30"/>
      <c r="I63" s="384"/>
      <c r="J63" s="902">
        <f t="shared" si="10"/>
        <v>25644000</v>
      </c>
      <c r="K63" s="903"/>
      <c r="L63" s="902">
        <f t="shared" si="11"/>
        <v>21068549</v>
      </c>
      <c r="M63" s="903"/>
    </row>
    <row r="64" spans="1:13" x14ac:dyDescent="0.25">
      <c r="A64" s="83" t="s">
        <v>169</v>
      </c>
      <c r="B64" s="30"/>
      <c r="C64" s="384"/>
      <c r="D64" s="30"/>
      <c r="E64" s="384"/>
      <c r="F64" s="30"/>
      <c r="G64" s="384"/>
      <c r="H64" s="30"/>
      <c r="I64" s="384"/>
      <c r="J64" s="902">
        <f t="shared" si="10"/>
        <v>37408000</v>
      </c>
      <c r="K64" s="903"/>
      <c r="L64" s="902">
        <f t="shared" si="11"/>
        <v>27427780</v>
      </c>
      <c r="M64" s="903"/>
    </row>
    <row r="65" spans="1:13" x14ac:dyDescent="0.25">
      <c r="A65" s="83" t="s">
        <v>170</v>
      </c>
      <c r="B65" s="30"/>
      <c r="C65" s="384"/>
      <c r="D65" s="30"/>
      <c r="E65" s="384"/>
      <c r="F65" s="30"/>
      <c r="G65" s="384"/>
      <c r="H65" s="30"/>
      <c r="I65" s="384"/>
      <c r="J65" s="902">
        <f t="shared" si="10"/>
        <v>27954000</v>
      </c>
      <c r="K65" s="903"/>
      <c r="L65" s="902">
        <f t="shared" si="11"/>
        <v>18795300</v>
      </c>
      <c r="M65" s="903"/>
    </row>
    <row r="66" spans="1:13" x14ac:dyDescent="0.25">
      <c r="A66" s="83" t="s">
        <v>171</v>
      </c>
      <c r="B66" s="30"/>
      <c r="C66" s="384"/>
      <c r="D66" s="30"/>
      <c r="E66" s="384"/>
      <c r="F66" s="30"/>
      <c r="G66" s="384"/>
      <c r="H66" s="30"/>
      <c r="I66" s="384"/>
      <c r="J66" s="902">
        <f t="shared" si="10"/>
        <v>15296000</v>
      </c>
      <c r="K66" s="903"/>
      <c r="L66" s="902">
        <f t="shared" si="11"/>
        <v>14915175</v>
      </c>
      <c r="M66" s="903"/>
    </row>
  </sheetData>
  <mergeCells count="63">
    <mergeCell ref="J66:K66"/>
    <mergeCell ref="L66:M66"/>
    <mergeCell ref="J60:K60"/>
    <mergeCell ref="J61:K61"/>
    <mergeCell ref="J64:K64"/>
    <mergeCell ref="L60:M60"/>
    <mergeCell ref="L61:M61"/>
    <mergeCell ref="L64:M64"/>
    <mergeCell ref="J65:K65"/>
    <mergeCell ref="L65:M65"/>
    <mergeCell ref="J62:K62"/>
    <mergeCell ref="L62:M62"/>
    <mergeCell ref="J63:K63"/>
    <mergeCell ref="L63:M63"/>
    <mergeCell ref="J58:K58"/>
    <mergeCell ref="L58:M58"/>
    <mergeCell ref="J59:K59"/>
    <mergeCell ref="L59:M59"/>
    <mergeCell ref="B56:C56"/>
    <mergeCell ref="D56:E56"/>
    <mergeCell ref="F56:G56"/>
    <mergeCell ref="H56:I56"/>
    <mergeCell ref="A22:A24"/>
    <mergeCell ref="B22:E22"/>
    <mergeCell ref="F22:I22"/>
    <mergeCell ref="A1:M1"/>
    <mergeCell ref="A2:M2"/>
    <mergeCell ref="A3:M3"/>
    <mergeCell ref="A5:M5"/>
    <mergeCell ref="A6:M6"/>
    <mergeCell ref="J22:M22"/>
    <mergeCell ref="B23:C23"/>
    <mergeCell ref="D23:E23"/>
    <mergeCell ref="F23:G23"/>
    <mergeCell ref="H23:I23"/>
    <mergeCell ref="J23:K23"/>
    <mergeCell ref="L23:M23"/>
    <mergeCell ref="L10:M10"/>
    <mergeCell ref="A9:A11"/>
    <mergeCell ref="B9:E9"/>
    <mergeCell ref="F9:I9"/>
    <mergeCell ref="J9:M9"/>
    <mergeCell ref="B10:C10"/>
    <mergeCell ref="D10:E10"/>
    <mergeCell ref="F10:G10"/>
    <mergeCell ref="H10:I10"/>
    <mergeCell ref="J10:K10"/>
    <mergeCell ref="A55:A57"/>
    <mergeCell ref="J42:M42"/>
    <mergeCell ref="J43:K43"/>
    <mergeCell ref="L43:M43"/>
    <mergeCell ref="A42:A44"/>
    <mergeCell ref="B42:E42"/>
    <mergeCell ref="L56:M57"/>
    <mergeCell ref="B43:C43"/>
    <mergeCell ref="D43:E43"/>
    <mergeCell ref="F43:G43"/>
    <mergeCell ref="H43:I43"/>
    <mergeCell ref="J56:K57"/>
    <mergeCell ref="F42:I42"/>
    <mergeCell ref="J55:M55"/>
    <mergeCell ref="B55:E55"/>
    <mergeCell ref="F55:I55"/>
  </mergeCells>
  <pageMargins left="1.21" right="0.15748031496063" top="0.59055118110236204" bottom="0.74803149606299202" header="0.78740157480314998" footer="0.31496062992126"/>
  <pageSetup paperSize="9" scale="70" orientation="portrait"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54"/>
  <sheetViews>
    <sheetView topLeftCell="A230" workbookViewId="0">
      <selection activeCell="N1" sqref="N1"/>
    </sheetView>
  </sheetViews>
  <sheetFormatPr defaultRowHeight="15" x14ac:dyDescent="0.25"/>
  <cols>
    <col min="1" max="1" width="30.85546875" customWidth="1"/>
    <col min="2" max="2" width="42" customWidth="1"/>
    <col min="3" max="3" width="15" customWidth="1"/>
    <col min="4" max="4" width="14.5703125" customWidth="1"/>
    <col min="5" max="5" width="10.85546875" customWidth="1"/>
    <col min="6" max="6" width="17.85546875" style="97" customWidth="1"/>
    <col min="7" max="7" width="11.140625" customWidth="1"/>
    <col min="8" max="8" width="17.42578125" customWidth="1"/>
    <col min="9" max="9" width="12" customWidth="1"/>
    <col min="10" max="10" width="18" customWidth="1"/>
  </cols>
  <sheetData>
    <row r="1" spans="1:10" x14ac:dyDescent="0.25">
      <c r="A1" s="858" t="s">
        <v>39</v>
      </c>
      <c r="B1" s="858"/>
      <c r="C1" s="858"/>
      <c r="D1" s="858"/>
      <c r="E1" s="858"/>
      <c r="F1" s="858"/>
      <c r="G1" s="858"/>
      <c r="H1" s="858"/>
      <c r="I1" s="858"/>
      <c r="J1" s="858"/>
    </row>
    <row r="2" spans="1:10" x14ac:dyDescent="0.25">
      <c r="A2" s="858" t="s">
        <v>40</v>
      </c>
      <c r="B2" s="858"/>
      <c r="C2" s="858"/>
      <c r="D2" s="858"/>
      <c r="E2" s="858"/>
      <c r="F2" s="858"/>
      <c r="G2" s="858"/>
      <c r="H2" s="858"/>
      <c r="I2" s="858"/>
      <c r="J2" s="858"/>
    </row>
    <row r="3" spans="1:10" x14ac:dyDescent="0.25">
      <c r="A3" s="415"/>
      <c r="B3" s="415"/>
      <c r="C3" s="415"/>
      <c r="D3" s="415"/>
      <c r="E3" s="415"/>
      <c r="F3" s="415"/>
      <c r="G3" s="415"/>
      <c r="H3" s="415"/>
      <c r="I3" s="415"/>
      <c r="J3" s="415"/>
    </row>
    <row r="4" spans="1:10" s="414" customFormat="1" ht="21" x14ac:dyDescent="0.35">
      <c r="A4" s="866" t="s">
        <v>320</v>
      </c>
      <c r="B4" s="866"/>
      <c r="C4" s="866"/>
      <c r="D4" s="866"/>
      <c r="E4" s="866"/>
      <c r="F4" s="866"/>
      <c r="G4" s="866"/>
      <c r="H4" s="866"/>
      <c r="I4" s="866"/>
      <c r="J4" s="866"/>
    </row>
    <row r="5" spans="1:10" s="48" customFormat="1" x14ac:dyDescent="0.25"/>
    <row r="6" spans="1:10" s="48" customFormat="1" x14ac:dyDescent="0.25">
      <c r="F6" s="91"/>
    </row>
    <row r="7" spans="1:10" s="3" customFormat="1" ht="30" customHeight="1" x14ac:dyDescent="0.25">
      <c r="A7" s="859" t="s">
        <v>0</v>
      </c>
      <c r="B7" s="860" t="s">
        <v>51</v>
      </c>
      <c r="C7" s="859" t="s">
        <v>4</v>
      </c>
      <c r="D7" s="862" t="s">
        <v>3</v>
      </c>
      <c r="E7" s="864" t="s">
        <v>324</v>
      </c>
      <c r="F7" s="865"/>
      <c r="G7" s="864" t="s">
        <v>315</v>
      </c>
      <c r="H7" s="865"/>
      <c r="I7" s="919" t="s">
        <v>325</v>
      </c>
      <c r="J7" s="920"/>
    </row>
    <row r="8" spans="1:10" s="3" customFormat="1" ht="21" customHeight="1" x14ac:dyDescent="0.25">
      <c r="A8" s="859"/>
      <c r="B8" s="861"/>
      <c r="C8" s="859"/>
      <c r="D8" s="863"/>
      <c r="E8" s="400" t="s">
        <v>48</v>
      </c>
      <c r="F8" s="398" t="s">
        <v>1</v>
      </c>
      <c r="G8" s="404" t="s">
        <v>48</v>
      </c>
      <c r="H8" s="404" t="s">
        <v>60</v>
      </c>
      <c r="I8" s="404" t="s">
        <v>48</v>
      </c>
      <c r="J8" s="404" t="s">
        <v>60</v>
      </c>
    </row>
    <row r="9" spans="1:10" s="12" customFormat="1" ht="20.25" customHeight="1" x14ac:dyDescent="0.25">
      <c r="A9" s="10" t="s">
        <v>14</v>
      </c>
      <c r="B9" s="10"/>
      <c r="C9" s="11"/>
      <c r="D9" s="11"/>
      <c r="E9" s="14"/>
      <c r="F9" s="181">
        <f>F11+F34+F57+F89+F112+F135+F158+F183+F206+F230</f>
        <v>417461444.37</v>
      </c>
      <c r="G9" s="11"/>
      <c r="H9" s="181">
        <f>H11+H34+H57+H89+H112+H135+H158+H183+H206+H230</f>
        <v>674311040</v>
      </c>
      <c r="I9" s="11"/>
      <c r="J9" s="181">
        <f>J11+J34+J57+J89+J112+J135+J158+J183+J206+J230</f>
        <v>170295870</v>
      </c>
    </row>
    <row r="10" spans="1:10" s="8" customFormat="1" ht="6" customHeight="1" x14ac:dyDescent="0.25">
      <c r="A10" s="7"/>
      <c r="B10" s="7"/>
      <c r="C10" s="7"/>
      <c r="D10" s="7"/>
      <c r="E10" s="7"/>
      <c r="F10" s="93"/>
      <c r="G10" s="7"/>
      <c r="H10" s="7"/>
      <c r="I10" s="7"/>
      <c r="J10" s="7"/>
    </row>
    <row r="11" spans="1:10" s="3" customFormat="1" ht="20.25" customHeight="1" x14ac:dyDescent="0.25">
      <c r="A11" s="926" t="s">
        <v>5</v>
      </c>
      <c r="B11" s="831" t="s">
        <v>50</v>
      </c>
      <c r="C11" s="967" t="s">
        <v>21</v>
      </c>
      <c r="D11" s="155" t="s">
        <v>81</v>
      </c>
      <c r="E11" s="341">
        <f t="shared" ref="E11:J11" si="0">E12+E23+E28</f>
        <v>37302</v>
      </c>
      <c r="F11" s="181">
        <f t="shared" si="0"/>
        <v>359730400</v>
      </c>
      <c r="G11" s="341">
        <f t="shared" si="0"/>
        <v>38164</v>
      </c>
      <c r="H11" s="181">
        <f t="shared" si="0"/>
        <v>572460000</v>
      </c>
      <c r="I11" s="341">
        <f t="shared" si="0"/>
        <v>36997</v>
      </c>
      <c r="J11" s="181">
        <f t="shared" si="0"/>
        <v>155038300</v>
      </c>
    </row>
    <row r="12" spans="1:10" s="3" customFormat="1" ht="21" customHeight="1" x14ac:dyDescent="0.25">
      <c r="A12" s="927"/>
      <c r="B12" s="832"/>
      <c r="C12" s="968"/>
      <c r="D12" s="70" t="s">
        <v>79</v>
      </c>
      <c r="E12" s="70">
        <f t="shared" ref="E12:J12" si="1">SUM(E13:E22)</f>
        <v>11557</v>
      </c>
      <c r="F12" s="84">
        <f t="shared" si="1"/>
        <v>106673600</v>
      </c>
      <c r="G12" s="70">
        <f t="shared" si="1"/>
        <v>11904</v>
      </c>
      <c r="H12" s="71">
        <f t="shared" si="1"/>
        <v>178560000</v>
      </c>
      <c r="I12" s="70">
        <f t="shared" si="1"/>
        <v>11466</v>
      </c>
      <c r="J12" s="71">
        <f t="shared" si="1"/>
        <v>47378500</v>
      </c>
    </row>
    <row r="13" spans="1:10" s="2" customFormat="1" ht="14.25" customHeight="1" x14ac:dyDescent="0.25">
      <c r="A13" s="18"/>
      <c r="B13" s="832"/>
      <c r="C13" s="4"/>
      <c r="D13" s="83" t="s">
        <v>172</v>
      </c>
      <c r="E13" s="424">
        <v>369</v>
      </c>
      <c r="F13" s="425">
        <v>3850200</v>
      </c>
      <c r="G13" s="424">
        <v>379</v>
      </c>
      <c r="H13" s="412">
        <f t="shared" ref="H13:H22" si="2">G13*15000</f>
        <v>5685000</v>
      </c>
      <c r="I13" s="424">
        <v>366</v>
      </c>
      <c r="J13" s="412">
        <f>'[1]updated may 7_FMS'!I130</f>
        <v>1485100</v>
      </c>
    </row>
    <row r="14" spans="1:10" s="2" customFormat="1" ht="14.25" customHeight="1" x14ac:dyDescent="0.25">
      <c r="A14" s="972"/>
      <c r="B14" s="832"/>
      <c r="C14" s="4"/>
      <c r="D14" s="83" t="s">
        <v>173</v>
      </c>
      <c r="E14" s="424">
        <v>1519</v>
      </c>
      <c r="F14" s="425">
        <v>13395600</v>
      </c>
      <c r="G14" s="424">
        <v>1576</v>
      </c>
      <c r="H14" s="412">
        <f t="shared" si="2"/>
        <v>23640000</v>
      </c>
      <c r="I14" s="424">
        <v>1507</v>
      </c>
      <c r="J14" s="412">
        <f>'[1]updated may 7_FMS'!I131</f>
        <v>6349000</v>
      </c>
    </row>
    <row r="15" spans="1:10" s="2" customFormat="1" ht="14.25" customHeight="1" x14ac:dyDescent="0.25">
      <c r="A15" s="918"/>
      <c r="B15" s="832"/>
      <c r="C15" s="4"/>
      <c r="D15" s="83" t="s">
        <v>174</v>
      </c>
      <c r="E15" s="424">
        <v>1469</v>
      </c>
      <c r="F15" s="425">
        <v>13113500</v>
      </c>
      <c r="G15" s="424">
        <v>1504</v>
      </c>
      <c r="H15" s="412">
        <f t="shared" si="2"/>
        <v>22560000</v>
      </c>
      <c r="I15" s="424">
        <v>1458</v>
      </c>
      <c r="J15" s="412">
        <f>'[1]updated may 7_FMS'!I132</f>
        <v>5724400</v>
      </c>
    </row>
    <row r="16" spans="1:10" s="2" customFormat="1" ht="14.25" customHeight="1" x14ac:dyDescent="0.25">
      <c r="A16" s="918"/>
      <c r="B16" s="832"/>
      <c r="C16" s="4"/>
      <c r="D16" s="83" t="s">
        <v>175</v>
      </c>
      <c r="E16" s="424">
        <v>1901</v>
      </c>
      <c r="F16" s="425">
        <v>19612200</v>
      </c>
      <c r="G16" s="424">
        <v>1964</v>
      </c>
      <c r="H16" s="412">
        <f t="shared" si="2"/>
        <v>29460000</v>
      </c>
      <c r="I16" s="424">
        <v>1886</v>
      </c>
      <c r="J16" s="412">
        <f>'[1]updated may 7_FMS'!I133</f>
        <v>8071700</v>
      </c>
    </row>
    <row r="17" spans="1:10" s="2" customFormat="1" ht="14.25" customHeight="1" x14ac:dyDescent="0.25">
      <c r="A17" s="918"/>
      <c r="B17" s="832"/>
      <c r="C17" s="4"/>
      <c r="D17" s="83" t="s">
        <v>176</v>
      </c>
      <c r="E17" s="424">
        <v>2154</v>
      </c>
      <c r="F17" s="425">
        <v>18208700</v>
      </c>
      <c r="G17" s="424">
        <v>2229</v>
      </c>
      <c r="H17" s="412">
        <f t="shared" si="2"/>
        <v>33435000</v>
      </c>
      <c r="I17" s="424">
        <v>2131</v>
      </c>
      <c r="J17" s="412">
        <f>'[1]updated may 7_FMS'!I134</f>
        <v>8560200</v>
      </c>
    </row>
    <row r="18" spans="1:10" s="2" customFormat="1" ht="14.25" customHeight="1" x14ac:dyDescent="0.25">
      <c r="A18" s="918"/>
      <c r="B18" s="832"/>
      <c r="C18" s="4"/>
      <c r="D18" s="83" t="s">
        <v>177</v>
      </c>
      <c r="E18" s="424">
        <v>613</v>
      </c>
      <c r="F18" s="425">
        <v>4863600</v>
      </c>
      <c r="G18" s="424">
        <v>630</v>
      </c>
      <c r="H18" s="412">
        <f t="shared" si="2"/>
        <v>9450000</v>
      </c>
      <c r="I18" s="424">
        <v>607</v>
      </c>
      <c r="J18" s="412">
        <f>'[1]updated may 7_FMS'!I135</f>
        <v>2394600</v>
      </c>
    </row>
    <row r="19" spans="1:10" s="2" customFormat="1" ht="14.25" customHeight="1" x14ac:dyDescent="0.25">
      <c r="A19" s="918"/>
      <c r="B19" s="832"/>
      <c r="C19" s="4"/>
      <c r="D19" s="83" t="s">
        <v>178</v>
      </c>
      <c r="E19" s="424">
        <v>933</v>
      </c>
      <c r="F19" s="425">
        <v>9670300</v>
      </c>
      <c r="G19" s="424">
        <v>946</v>
      </c>
      <c r="H19" s="412">
        <f t="shared" si="2"/>
        <v>14190000</v>
      </c>
      <c r="I19" s="424">
        <v>933</v>
      </c>
      <c r="J19" s="412">
        <f>'[1]updated may 7_FMS'!I136</f>
        <v>4029200</v>
      </c>
    </row>
    <row r="20" spans="1:10" s="2" customFormat="1" ht="14.25" customHeight="1" x14ac:dyDescent="0.25">
      <c r="A20" s="918"/>
      <c r="B20" s="832"/>
      <c r="C20" s="4"/>
      <c r="D20" s="83" t="s">
        <v>179</v>
      </c>
      <c r="E20" s="424">
        <v>468</v>
      </c>
      <c r="F20" s="425">
        <v>3726800</v>
      </c>
      <c r="G20" s="424">
        <v>487</v>
      </c>
      <c r="H20" s="412">
        <f t="shared" si="2"/>
        <v>7305000</v>
      </c>
      <c r="I20" s="424">
        <v>462</v>
      </c>
      <c r="J20" s="412">
        <f>'[1]updated may 7_FMS'!I137</f>
        <v>1871300</v>
      </c>
    </row>
    <row r="21" spans="1:10" s="2" customFormat="1" ht="14.25" customHeight="1" x14ac:dyDescent="0.25">
      <c r="A21" s="918"/>
      <c r="B21" s="832"/>
      <c r="C21" s="4"/>
      <c r="D21" s="83" t="s">
        <v>180</v>
      </c>
      <c r="E21" s="424">
        <v>928</v>
      </c>
      <c r="F21" s="425">
        <v>9271600</v>
      </c>
      <c r="G21" s="424">
        <v>942</v>
      </c>
      <c r="H21" s="412">
        <f t="shared" si="2"/>
        <v>14130000</v>
      </c>
      <c r="I21" s="424">
        <v>921</v>
      </c>
      <c r="J21" s="412">
        <f>'[1]updated may 7_FMS'!I138</f>
        <v>3945100</v>
      </c>
    </row>
    <row r="22" spans="1:10" s="2" customFormat="1" ht="14.25" customHeight="1" x14ac:dyDescent="0.25">
      <c r="A22" s="918"/>
      <c r="B22" s="833"/>
      <c r="C22" s="4"/>
      <c r="D22" s="83" t="s">
        <v>181</v>
      </c>
      <c r="E22" s="424">
        <v>1203</v>
      </c>
      <c r="F22" s="425">
        <v>10961100</v>
      </c>
      <c r="G22" s="424">
        <v>1247</v>
      </c>
      <c r="H22" s="412">
        <f t="shared" si="2"/>
        <v>18705000</v>
      </c>
      <c r="I22" s="424">
        <v>1195</v>
      </c>
      <c r="J22" s="412">
        <f>'[1]updated may 7_FMS'!I139</f>
        <v>4947900</v>
      </c>
    </row>
    <row r="23" spans="1:10" s="2" customFormat="1" ht="16.5" customHeight="1" x14ac:dyDescent="0.25">
      <c r="A23" s="77"/>
      <c r="B23" s="75"/>
      <c r="C23" s="63"/>
      <c r="D23" s="70" t="s">
        <v>80</v>
      </c>
      <c r="E23" s="70">
        <f t="shared" ref="E23:J23" si="3">SUM(E24:E27)</f>
        <v>14607</v>
      </c>
      <c r="F23" s="84">
        <f t="shared" si="3"/>
        <v>141126000</v>
      </c>
      <c r="G23" s="70">
        <f t="shared" si="3"/>
        <v>14883</v>
      </c>
      <c r="H23" s="71">
        <f t="shared" si="3"/>
        <v>223245000</v>
      </c>
      <c r="I23" s="70">
        <f t="shared" si="3"/>
        <v>14429</v>
      </c>
      <c r="J23" s="71">
        <f t="shared" si="3"/>
        <v>58886200</v>
      </c>
    </row>
    <row r="24" spans="1:10" s="2" customFormat="1" ht="14.25" customHeight="1" x14ac:dyDescent="0.25">
      <c r="A24" s="77"/>
      <c r="B24" s="75"/>
      <c r="C24" s="4"/>
      <c r="D24" s="83" t="s">
        <v>182</v>
      </c>
      <c r="E24" s="424">
        <v>2831</v>
      </c>
      <c r="F24" s="425">
        <v>23990200</v>
      </c>
      <c r="G24" s="424">
        <v>2910</v>
      </c>
      <c r="H24" s="412">
        <f>G24*15000</f>
        <v>43650000</v>
      </c>
      <c r="I24" s="424">
        <v>2798</v>
      </c>
      <c r="J24" s="412">
        <f>'[1]updated may 7_FMS'!I141</f>
        <v>11000000</v>
      </c>
    </row>
    <row r="25" spans="1:10" s="2" customFormat="1" ht="14.25" customHeight="1" x14ac:dyDescent="0.25">
      <c r="A25" s="77"/>
      <c r="B25" s="75"/>
      <c r="C25" s="4"/>
      <c r="D25" s="83" t="s">
        <v>183</v>
      </c>
      <c r="E25" s="424">
        <v>2613</v>
      </c>
      <c r="F25" s="425">
        <v>24909600</v>
      </c>
      <c r="G25" s="424">
        <v>2647</v>
      </c>
      <c r="H25" s="412">
        <f>G25*15000</f>
        <v>39705000</v>
      </c>
      <c r="I25" s="424">
        <v>2580</v>
      </c>
      <c r="J25" s="412">
        <f>'[1]updated may 7_FMS'!I142</f>
        <v>10541900</v>
      </c>
    </row>
    <row r="26" spans="1:10" s="2" customFormat="1" ht="14.25" customHeight="1" x14ac:dyDescent="0.25">
      <c r="A26" s="77"/>
      <c r="B26" s="75"/>
      <c r="C26" s="4"/>
      <c r="D26" s="83" t="s">
        <v>184</v>
      </c>
      <c r="E26" s="424">
        <v>7240</v>
      </c>
      <c r="F26" s="425">
        <v>75830900</v>
      </c>
      <c r="G26" s="424">
        <v>7328</v>
      </c>
      <c r="H26" s="412">
        <f>G26*15000</f>
        <v>109920000</v>
      </c>
      <c r="I26" s="424">
        <v>7130</v>
      </c>
      <c r="J26" s="412">
        <f>'[1]updated may 7_FMS'!I143</f>
        <v>29457600</v>
      </c>
    </row>
    <row r="27" spans="1:10" s="2" customFormat="1" ht="14.25" customHeight="1" x14ac:dyDescent="0.25">
      <c r="A27" s="77"/>
      <c r="B27" s="75"/>
      <c r="C27" s="4"/>
      <c r="D27" s="83" t="s">
        <v>185</v>
      </c>
      <c r="E27" s="424">
        <v>1923</v>
      </c>
      <c r="F27" s="425">
        <v>16395300</v>
      </c>
      <c r="G27" s="424">
        <v>1998</v>
      </c>
      <c r="H27" s="412">
        <f>G27*15000</f>
        <v>29970000</v>
      </c>
      <c r="I27" s="424">
        <v>1921</v>
      </c>
      <c r="J27" s="412">
        <f>'[1]updated may 7_FMS'!I144</f>
        <v>7886700</v>
      </c>
    </row>
    <row r="28" spans="1:10" s="2" customFormat="1" ht="18" customHeight="1" x14ac:dyDescent="0.25">
      <c r="A28" s="77"/>
      <c r="B28" s="75"/>
      <c r="C28" s="63"/>
      <c r="D28" s="70" t="s">
        <v>97</v>
      </c>
      <c r="E28" s="70">
        <f t="shared" ref="E28:J28" si="4">SUM(E29:E32)</f>
        <v>11138</v>
      </c>
      <c r="F28" s="84">
        <f t="shared" si="4"/>
        <v>111930800</v>
      </c>
      <c r="G28" s="70">
        <f t="shared" si="4"/>
        <v>11377</v>
      </c>
      <c r="H28" s="71">
        <f t="shared" si="4"/>
        <v>170655000</v>
      </c>
      <c r="I28" s="70">
        <f t="shared" si="4"/>
        <v>11102</v>
      </c>
      <c r="J28" s="71">
        <f t="shared" si="4"/>
        <v>48773600</v>
      </c>
    </row>
    <row r="29" spans="1:10" s="2" customFormat="1" ht="14.25" customHeight="1" x14ac:dyDescent="0.25">
      <c r="A29" s="77"/>
      <c r="B29" s="75"/>
      <c r="C29" s="4"/>
      <c r="D29" s="83" t="s">
        <v>186</v>
      </c>
      <c r="E29" s="424">
        <v>1151</v>
      </c>
      <c r="F29" s="425">
        <v>13094800</v>
      </c>
      <c r="G29" s="424">
        <v>1160</v>
      </c>
      <c r="H29" s="412">
        <f>G29*15000</f>
        <v>17400000</v>
      </c>
      <c r="I29" s="424">
        <v>1138</v>
      </c>
      <c r="J29" s="412">
        <f>'[1]updated may 7_FMS'!I146</f>
        <v>5081900</v>
      </c>
    </row>
    <row r="30" spans="1:10" s="2" customFormat="1" ht="14.25" customHeight="1" x14ac:dyDescent="0.25">
      <c r="A30" s="77"/>
      <c r="B30" s="75"/>
      <c r="C30" s="4"/>
      <c r="D30" s="83" t="s">
        <v>187</v>
      </c>
      <c r="E30" s="424">
        <v>3505</v>
      </c>
      <c r="F30" s="425">
        <v>37837700</v>
      </c>
      <c r="G30" s="424">
        <v>3591</v>
      </c>
      <c r="H30" s="412">
        <f>G30*15000</f>
        <v>53865000</v>
      </c>
      <c r="I30" s="424">
        <v>3493</v>
      </c>
      <c r="J30" s="412">
        <f>'[1]updated may 7_FMS'!I147</f>
        <v>15535600</v>
      </c>
    </row>
    <row r="31" spans="1:10" s="2" customFormat="1" ht="14.25" customHeight="1" x14ac:dyDescent="0.25">
      <c r="A31" s="77"/>
      <c r="B31" s="75"/>
      <c r="C31" s="4"/>
      <c r="D31" s="83" t="s">
        <v>188</v>
      </c>
      <c r="E31" s="424">
        <v>4293</v>
      </c>
      <c r="F31" s="425">
        <v>40123600</v>
      </c>
      <c r="G31" s="424">
        <v>4401</v>
      </c>
      <c r="H31" s="412">
        <f>G31*15000</f>
        <v>66015000</v>
      </c>
      <c r="I31" s="424">
        <v>4297</v>
      </c>
      <c r="J31" s="412">
        <f>'[1]updated may 7_FMS'!I148</f>
        <v>18742700</v>
      </c>
    </row>
    <row r="32" spans="1:10" s="2" customFormat="1" ht="14.25" customHeight="1" x14ac:dyDescent="0.25">
      <c r="A32" s="77"/>
      <c r="B32" s="75"/>
      <c r="C32" s="4"/>
      <c r="D32" s="83" t="s">
        <v>189</v>
      </c>
      <c r="E32" s="424">
        <v>2189</v>
      </c>
      <c r="F32" s="425">
        <v>20874700</v>
      </c>
      <c r="G32" s="424">
        <v>2225</v>
      </c>
      <c r="H32" s="412">
        <f>G32*15000</f>
        <v>33375000</v>
      </c>
      <c r="I32" s="424">
        <v>2174</v>
      </c>
      <c r="J32" s="412">
        <f>'[1]updated may 7_FMS'!I149</f>
        <v>9413400</v>
      </c>
    </row>
    <row r="33" spans="1:10" s="8" customFormat="1" ht="6" customHeight="1" x14ac:dyDescent="0.25">
      <c r="A33" s="7"/>
      <c r="B33" s="7"/>
      <c r="C33" s="7"/>
      <c r="D33" s="7"/>
      <c r="E33" s="7"/>
      <c r="F33" s="93"/>
      <c r="G33" s="7"/>
      <c r="H33" s="7"/>
      <c r="I33" s="7"/>
      <c r="J33" s="7"/>
    </row>
    <row r="34" spans="1:10" s="9" customFormat="1" ht="24.75" customHeight="1" x14ac:dyDescent="0.25">
      <c r="A34" s="926" t="s">
        <v>61</v>
      </c>
      <c r="B34" s="831" t="s">
        <v>62</v>
      </c>
      <c r="C34" s="967" t="s">
        <v>21</v>
      </c>
      <c r="D34" s="155" t="s">
        <v>81</v>
      </c>
      <c r="E34" s="157">
        <f t="shared" ref="E34:J34" si="5">E35+E46+E51</f>
        <v>56</v>
      </c>
      <c r="F34" s="158">
        <f t="shared" si="5"/>
        <v>285100</v>
      </c>
      <c r="G34" s="157">
        <f t="shared" si="5"/>
        <v>0</v>
      </c>
      <c r="H34" s="158">
        <f t="shared" si="5"/>
        <v>0</v>
      </c>
      <c r="I34" s="157">
        <f t="shared" si="5"/>
        <v>0</v>
      </c>
      <c r="J34" s="158">
        <f t="shared" si="5"/>
        <v>0</v>
      </c>
    </row>
    <row r="35" spans="1:10" s="3" customFormat="1" ht="21" customHeight="1" x14ac:dyDescent="0.25">
      <c r="A35" s="927"/>
      <c r="B35" s="832"/>
      <c r="C35" s="968"/>
      <c r="D35" s="70" t="s">
        <v>79</v>
      </c>
      <c r="E35" s="70">
        <f t="shared" ref="E35:J35" si="6">SUM(E36:E45)</f>
        <v>56</v>
      </c>
      <c r="F35" s="84">
        <f t="shared" si="6"/>
        <v>285100</v>
      </c>
      <c r="G35" s="70">
        <f t="shared" si="6"/>
        <v>0</v>
      </c>
      <c r="H35" s="71">
        <f t="shared" si="6"/>
        <v>0</v>
      </c>
      <c r="I35" s="70">
        <f t="shared" si="6"/>
        <v>0</v>
      </c>
      <c r="J35" s="71">
        <f t="shared" si="6"/>
        <v>0</v>
      </c>
    </row>
    <row r="36" spans="1:10" s="2" customFormat="1" ht="14.25" customHeight="1" x14ac:dyDescent="0.25">
      <c r="A36" s="18"/>
      <c r="B36" s="832"/>
      <c r="C36" s="4"/>
      <c r="D36" s="83" t="s">
        <v>172</v>
      </c>
      <c r="E36" s="30"/>
      <c r="F36" s="37"/>
      <c r="G36" s="4"/>
      <c r="H36" s="17"/>
      <c r="I36" s="395"/>
      <c r="J36" s="17"/>
    </row>
    <row r="37" spans="1:10" s="2" customFormat="1" ht="14.25" customHeight="1" x14ac:dyDescent="0.25">
      <c r="A37" s="972"/>
      <c r="B37" s="832"/>
      <c r="C37" s="4"/>
      <c r="D37" s="83" t="s">
        <v>173</v>
      </c>
      <c r="E37" s="30"/>
      <c r="F37" s="37"/>
      <c r="G37" s="4"/>
      <c r="H37" s="17"/>
      <c r="I37" s="395"/>
      <c r="J37" s="17"/>
    </row>
    <row r="38" spans="1:10" s="2" customFormat="1" ht="14.25" customHeight="1" x14ac:dyDescent="0.25">
      <c r="A38" s="918"/>
      <c r="B38" s="832"/>
      <c r="C38" s="4"/>
      <c r="D38" s="83" t="s">
        <v>174</v>
      </c>
      <c r="E38" s="30"/>
      <c r="F38" s="37"/>
      <c r="G38" s="4"/>
      <c r="H38" s="17"/>
      <c r="I38" s="395"/>
      <c r="J38" s="17"/>
    </row>
    <row r="39" spans="1:10" s="2" customFormat="1" ht="14.25" customHeight="1" x14ac:dyDescent="0.25">
      <c r="A39" s="918"/>
      <c r="B39" s="832"/>
      <c r="C39" s="4"/>
      <c r="D39" s="83" t="s">
        <v>175</v>
      </c>
      <c r="E39" s="30"/>
      <c r="F39" s="37"/>
      <c r="G39" s="4"/>
      <c r="H39" s="17"/>
      <c r="I39" s="395"/>
      <c r="J39" s="17"/>
    </row>
    <row r="40" spans="1:10" s="2" customFormat="1" ht="14.25" customHeight="1" x14ac:dyDescent="0.25">
      <c r="A40" s="918"/>
      <c r="B40" s="85"/>
      <c r="C40" s="4"/>
      <c r="D40" s="83" t="s">
        <v>176</v>
      </c>
      <c r="E40" s="30"/>
      <c r="F40" s="37"/>
      <c r="G40" s="4"/>
      <c r="H40" s="17"/>
      <c r="I40" s="395"/>
      <c r="J40" s="17"/>
    </row>
    <row r="41" spans="1:10" s="2" customFormat="1" ht="14.25" customHeight="1" x14ac:dyDescent="0.25">
      <c r="A41" s="918"/>
      <c r="B41" s="85"/>
      <c r="C41" s="4"/>
      <c r="D41" s="83" t="s">
        <v>177</v>
      </c>
      <c r="E41" s="30"/>
      <c r="F41" s="37"/>
      <c r="G41" s="4"/>
      <c r="H41" s="17"/>
      <c r="I41" s="395"/>
      <c r="J41" s="17"/>
    </row>
    <row r="42" spans="1:10" s="2" customFormat="1" ht="14.25" customHeight="1" x14ac:dyDescent="0.25">
      <c r="A42" s="918"/>
      <c r="B42" s="85"/>
      <c r="C42" s="4"/>
      <c r="D42" s="83" t="s">
        <v>178</v>
      </c>
      <c r="E42" s="30"/>
      <c r="F42" s="37"/>
      <c r="G42" s="4"/>
      <c r="H42" s="17"/>
      <c r="I42" s="395"/>
      <c r="J42" s="17"/>
    </row>
    <row r="43" spans="1:10" s="2" customFormat="1" ht="14.25" customHeight="1" x14ac:dyDescent="0.25">
      <c r="A43" s="918"/>
      <c r="B43" s="85"/>
      <c r="C43" s="4"/>
      <c r="D43" s="83" t="s">
        <v>179</v>
      </c>
      <c r="E43" s="30"/>
      <c r="F43" s="37"/>
      <c r="G43" s="4"/>
      <c r="H43" s="17"/>
      <c r="I43" s="395"/>
      <c r="J43" s="17"/>
    </row>
    <row r="44" spans="1:10" s="2" customFormat="1" ht="14.25" customHeight="1" x14ac:dyDescent="0.25">
      <c r="A44" s="918"/>
      <c r="B44" s="85"/>
      <c r="C44" s="4"/>
      <c r="D44" s="83" t="s">
        <v>180</v>
      </c>
      <c r="E44" s="30"/>
      <c r="F44" s="37"/>
      <c r="G44" s="4"/>
      <c r="H44" s="17"/>
      <c r="I44" s="395"/>
      <c r="J44" s="17"/>
    </row>
    <row r="45" spans="1:10" s="2" customFormat="1" ht="14.25" customHeight="1" x14ac:dyDescent="0.25">
      <c r="A45" s="918"/>
      <c r="B45" s="85"/>
      <c r="C45" s="4"/>
      <c r="D45" s="83" t="s">
        <v>181</v>
      </c>
      <c r="E45" s="30">
        <v>56</v>
      </c>
      <c r="F45" s="37">
        <v>285100</v>
      </c>
      <c r="G45" s="4"/>
      <c r="H45" s="17"/>
      <c r="I45" s="395"/>
      <c r="J45" s="17"/>
    </row>
    <row r="46" spans="1:10" s="2" customFormat="1" ht="20.25" customHeight="1" x14ac:dyDescent="0.25">
      <c r="A46" s="77"/>
      <c r="B46" s="85"/>
      <c r="C46" s="63"/>
      <c r="D46" s="70" t="s">
        <v>80</v>
      </c>
      <c r="E46" s="70">
        <f t="shared" ref="E46:J46" si="7">SUM(E47:E50)</f>
        <v>0</v>
      </c>
      <c r="F46" s="84">
        <f t="shared" si="7"/>
        <v>0</v>
      </c>
      <c r="G46" s="70">
        <f t="shared" si="7"/>
        <v>0</v>
      </c>
      <c r="H46" s="71">
        <f t="shared" si="7"/>
        <v>0</v>
      </c>
      <c r="I46" s="70">
        <f t="shared" si="7"/>
        <v>0</v>
      </c>
      <c r="J46" s="71">
        <f t="shared" si="7"/>
        <v>0</v>
      </c>
    </row>
    <row r="47" spans="1:10" s="2" customFormat="1" ht="14.25" customHeight="1" x14ac:dyDescent="0.25">
      <c r="A47" s="77"/>
      <c r="B47" s="85"/>
      <c r="C47" s="4"/>
      <c r="D47" s="83" t="s">
        <v>182</v>
      </c>
      <c r="E47" s="30"/>
      <c r="F47" s="37"/>
      <c r="G47" s="4"/>
      <c r="H47" s="17"/>
      <c r="I47" s="395"/>
      <c r="J47" s="17"/>
    </row>
    <row r="48" spans="1:10" s="2" customFormat="1" ht="14.25" customHeight="1" x14ac:dyDescent="0.25">
      <c r="A48" s="77"/>
      <c r="B48" s="85"/>
      <c r="C48" s="4"/>
      <c r="D48" s="83" t="s">
        <v>183</v>
      </c>
      <c r="E48" s="30"/>
      <c r="F48" s="37"/>
      <c r="G48" s="4"/>
      <c r="H48" s="17"/>
      <c r="I48" s="395"/>
      <c r="J48" s="17"/>
    </row>
    <row r="49" spans="1:10" s="2" customFormat="1" ht="14.25" customHeight="1" x14ac:dyDescent="0.25">
      <c r="A49" s="77"/>
      <c r="B49" s="85"/>
      <c r="C49" s="4"/>
      <c r="D49" s="83" t="s">
        <v>184</v>
      </c>
      <c r="E49" s="30"/>
      <c r="F49" s="37"/>
      <c r="G49" s="4"/>
      <c r="H49" s="17"/>
      <c r="I49" s="395"/>
      <c r="J49" s="17"/>
    </row>
    <row r="50" spans="1:10" s="2" customFormat="1" ht="14.25" customHeight="1" x14ac:dyDescent="0.25">
      <c r="A50" s="77"/>
      <c r="B50" s="85"/>
      <c r="C50" s="4"/>
      <c r="D50" s="83" t="s">
        <v>185</v>
      </c>
      <c r="E50" s="30"/>
      <c r="F50" s="37"/>
      <c r="G50" s="4"/>
      <c r="H50" s="17"/>
      <c r="I50" s="395"/>
      <c r="J50" s="17"/>
    </row>
    <row r="51" spans="1:10" s="2" customFormat="1" ht="17.25" customHeight="1" x14ac:dyDescent="0.25">
      <c r="A51" s="77"/>
      <c r="B51" s="85"/>
      <c r="C51" s="63"/>
      <c r="D51" s="70" t="s">
        <v>97</v>
      </c>
      <c r="E51" s="70">
        <f t="shared" ref="E51:J51" si="8">SUM(E52:E55)</f>
        <v>0</v>
      </c>
      <c r="F51" s="84">
        <f t="shared" si="8"/>
        <v>0</v>
      </c>
      <c r="G51" s="70">
        <f t="shared" si="8"/>
        <v>0</v>
      </c>
      <c r="H51" s="71">
        <f t="shared" si="8"/>
        <v>0</v>
      </c>
      <c r="I51" s="70">
        <f t="shared" si="8"/>
        <v>0</v>
      </c>
      <c r="J51" s="71">
        <f t="shared" si="8"/>
        <v>0</v>
      </c>
    </row>
    <row r="52" spans="1:10" s="2" customFormat="1" ht="14.25" customHeight="1" x14ac:dyDescent="0.25">
      <c r="A52" s="77"/>
      <c r="B52" s="85"/>
      <c r="C52" s="4"/>
      <c r="D52" s="83" t="s">
        <v>186</v>
      </c>
      <c r="E52" s="30"/>
      <c r="F52" s="37"/>
      <c r="G52" s="4"/>
      <c r="H52" s="17"/>
      <c r="I52" s="395"/>
      <c r="J52" s="17"/>
    </row>
    <row r="53" spans="1:10" s="2" customFormat="1" ht="14.25" customHeight="1" x14ac:dyDescent="0.25">
      <c r="A53" s="77"/>
      <c r="B53" s="85"/>
      <c r="C53" s="4"/>
      <c r="D53" s="83" t="s">
        <v>187</v>
      </c>
      <c r="E53" s="30"/>
      <c r="F53" s="37"/>
      <c r="G53" s="4"/>
      <c r="H53" s="17"/>
      <c r="I53" s="395"/>
      <c r="J53" s="17"/>
    </row>
    <row r="54" spans="1:10" s="2" customFormat="1" ht="14.25" customHeight="1" x14ac:dyDescent="0.25">
      <c r="A54" s="77"/>
      <c r="B54" s="85"/>
      <c r="C54" s="4"/>
      <c r="D54" s="83" t="s">
        <v>188</v>
      </c>
      <c r="E54" s="30"/>
      <c r="F54" s="37"/>
      <c r="G54" s="4"/>
      <c r="H54" s="17"/>
      <c r="I54" s="395"/>
      <c r="J54" s="17"/>
    </row>
    <row r="55" spans="1:10" s="2" customFormat="1" ht="14.25" customHeight="1" x14ac:dyDescent="0.25">
      <c r="A55" s="77"/>
      <c r="B55" s="85"/>
      <c r="C55" s="4"/>
      <c r="D55" s="83" t="s">
        <v>189</v>
      </c>
      <c r="E55" s="30"/>
      <c r="F55" s="37"/>
      <c r="G55" s="4"/>
      <c r="H55" s="17"/>
      <c r="I55" s="395"/>
      <c r="J55" s="17"/>
    </row>
    <row r="56" spans="1:10" s="8" customFormat="1" ht="6" customHeight="1" x14ac:dyDescent="0.25">
      <c r="A56" s="7"/>
      <c r="B56" s="7"/>
      <c r="C56" s="7"/>
      <c r="D56" s="7"/>
      <c r="E56" s="7"/>
      <c r="F56" s="93"/>
      <c r="G56" s="7"/>
      <c r="H56" s="7"/>
      <c r="I56" s="7"/>
      <c r="J56" s="7"/>
    </row>
    <row r="57" spans="1:10" s="9" customFormat="1" ht="19.5" customHeight="1" x14ac:dyDescent="0.25">
      <c r="A57" s="926" t="s">
        <v>7</v>
      </c>
      <c r="B57" s="831" t="s">
        <v>52</v>
      </c>
      <c r="C57" s="967" t="s">
        <v>53</v>
      </c>
      <c r="D57" s="184" t="s">
        <v>81</v>
      </c>
      <c r="E57" s="157">
        <f t="shared" ref="E57:J57" si="9">E58+E69+E74</f>
        <v>281</v>
      </c>
      <c r="F57" s="158">
        <f t="shared" si="9"/>
        <v>1895000</v>
      </c>
      <c r="G57" s="157">
        <f t="shared" si="9"/>
        <v>3377</v>
      </c>
      <c r="H57" s="158">
        <f t="shared" si="9"/>
        <v>16885000</v>
      </c>
      <c r="I57" s="157">
        <f t="shared" si="9"/>
        <v>47</v>
      </c>
      <c r="J57" s="158">
        <f t="shared" si="9"/>
        <v>235000</v>
      </c>
    </row>
    <row r="58" spans="1:10" s="3" customFormat="1" ht="21" customHeight="1" x14ac:dyDescent="0.25">
      <c r="A58" s="927"/>
      <c r="B58" s="832"/>
      <c r="C58" s="968"/>
      <c r="D58" s="70" t="s">
        <v>79</v>
      </c>
      <c r="E58" s="70">
        <f t="shared" ref="E58:J58" si="10">SUM(E59:E68)</f>
        <v>76</v>
      </c>
      <c r="F58" s="84">
        <f t="shared" si="10"/>
        <v>610000</v>
      </c>
      <c r="G58" s="70">
        <f t="shared" si="10"/>
        <v>1590</v>
      </c>
      <c r="H58" s="71">
        <f t="shared" si="10"/>
        <v>7950000</v>
      </c>
      <c r="I58" s="70">
        <f t="shared" si="10"/>
        <v>0</v>
      </c>
      <c r="J58" s="71">
        <f t="shared" si="10"/>
        <v>0</v>
      </c>
    </row>
    <row r="59" spans="1:10" s="2" customFormat="1" ht="14.25" customHeight="1" x14ac:dyDescent="0.25">
      <c r="A59" s="18"/>
      <c r="B59" s="832"/>
      <c r="C59" s="4"/>
      <c r="D59" s="83" t="s">
        <v>172</v>
      </c>
      <c r="E59" s="30"/>
      <c r="F59" s="37"/>
      <c r="G59" s="383"/>
      <c r="H59" s="384">
        <f t="shared" ref="H59:H68" si="11">G59*5000</f>
        <v>0</v>
      </c>
      <c r="I59" s="395"/>
      <c r="J59" s="17"/>
    </row>
    <row r="60" spans="1:10" s="2" customFormat="1" ht="14.25" customHeight="1" x14ac:dyDescent="0.25">
      <c r="A60" s="972"/>
      <c r="B60" s="832"/>
      <c r="C60" s="4"/>
      <c r="D60" s="83" t="s">
        <v>173</v>
      </c>
      <c r="E60" s="30">
        <f>1</f>
        <v>1</v>
      </c>
      <c r="F60" s="37">
        <f>10000</f>
        <v>10000</v>
      </c>
      <c r="G60" s="383">
        <v>130</v>
      </c>
      <c r="H60" s="384">
        <f t="shared" si="11"/>
        <v>650000</v>
      </c>
      <c r="I60" s="395"/>
      <c r="J60" s="17"/>
    </row>
    <row r="61" spans="1:10" s="2" customFormat="1" ht="14.25" customHeight="1" x14ac:dyDescent="0.25">
      <c r="A61" s="918"/>
      <c r="B61" s="832"/>
      <c r="C61" s="4"/>
      <c r="D61" s="83" t="s">
        <v>174</v>
      </c>
      <c r="E61" s="30"/>
      <c r="F61" s="37"/>
      <c r="G61" s="383">
        <v>310</v>
      </c>
      <c r="H61" s="384">
        <f t="shared" si="11"/>
        <v>1550000</v>
      </c>
      <c r="I61" s="395"/>
      <c r="J61" s="17"/>
    </row>
    <row r="62" spans="1:10" s="2" customFormat="1" ht="14.25" customHeight="1" x14ac:dyDescent="0.25">
      <c r="A62" s="918"/>
      <c r="B62" s="832"/>
      <c r="C62" s="4"/>
      <c r="D62" s="83" t="s">
        <v>175</v>
      </c>
      <c r="E62" s="30"/>
      <c r="F62" s="37"/>
      <c r="G62" s="383">
        <v>130</v>
      </c>
      <c r="H62" s="384">
        <f t="shared" si="11"/>
        <v>650000</v>
      </c>
      <c r="I62" s="395"/>
      <c r="J62" s="17"/>
    </row>
    <row r="63" spans="1:10" s="2" customFormat="1" ht="14.25" customHeight="1" x14ac:dyDescent="0.25">
      <c r="A63" s="918"/>
      <c r="B63" s="832"/>
      <c r="C63" s="4"/>
      <c r="D63" s="83" t="s">
        <v>176</v>
      </c>
      <c r="E63" s="30"/>
      <c r="F63" s="37"/>
      <c r="G63" s="383">
        <v>130</v>
      </c>
      <c r="H63" s="384">
        <f t="shared" si="11"/>
        <v>650000</v>
      </c>
      <c r="I63" s="395"/>
      <c r="J63" s="17"/>
    </row>
    <row r="64" spans="1:10" s="2" customFormat="1" ht="14.25" customHeight="1" x14ac:dyDescent="0.25">
      <c r="A64" s="918"/>
      <c r="B64" s="832"/>
      <c r="C64" s="4"/>
      <c r="D64" s="83" t="s">
        <v>177</v>
      </c>
      <c r="E64" s="30">
        <f>75</f>
        <v>75</v>
      </c>
      <c r="F64" s="37">
        <f>600000</f>
        <v>600000</v>
      </c>
      <c r="G64" s="383">
        <v>180</v>
      </c>
      <c r="H64" s="384">
        <f t="shared" si="11"/>
        <v>900000</v>
      </c>
      <c r="I64" s="395"/>
      <c r="J64" s="17"/>
    </row>
    <row r="65" spans="1:10" s="2" customFormat="1" ht="14.25" customHeight="1" x14ac:dyDescent="0.25">
      <c r="A65" s="918"/>
      <c r="B65" s="832"/>
      <c r="C65" s="4"/>
      <c r="D65" s="83" t="s">
        <v>178</v>
      </c>
      <c r="E65" s="30"/>
      <c r="F65" s="37"/>
      <c r="G65" s="383">
        <v>280</v>
      </c>
      <c r="H65" s="384">
        <f t="shared" si="11"/>
        <v>1400000</v>
      </c>
      <c r="I65" s="395"/>
      <c r="J65" s="17"/>
    </row>
    <row r="66" spans="1:10" s="2" customFormat="1" ht="14.25" customHeight="1" x14ac:dyDescent="0.25">
      <c r="A66" s="918"/>
      <c r="B66" s="832"/>
      <c r="C66" s="4"/>
      <c r="D66" s="83" t="s">
        <v>179</v>
      </c>
      <c r="E66" s="30"/>
      <c r="F66" s="37"/>
      <c r="G66" s="383">
        <v>80</v>
      </c>
      <c r="H66" s="384">
        <f t="shared" si="11"/>
        <v>400000</v>
      </c>
      <c r="I66" s="395"/>
      <c r="J66" s="17"/>
    </row>
    <row r="67" spans="1:10" s="2" customFormat="1" ht="14.25" customHeight="1" x14ac:dyDescent="0.25">
      <c r="A67" s="918"/>
      <c r="B67" s="832"/>
      <c r="C67" s="4"/>
      <c r="D67" s="83" t="s">
        <v>180</v>
      </c>
      <c r="E67" s="30"/>
      <c r="F67" s="37"/>
      <c r="G67" s="383">
        <v>200</v>
      </c>
      <c r="H67" s="384">
        <f t="shared" si="11"/>
        <v>1000000</v>
      </c>
      <c r="I67" s="395"/>
      <c r="J67" s="17"/>
    </row>
    <row r="68" spans="1:10" s="2" customFormat="1" ht="14.25" customHeight="1" x14ac:dyDescent="0.25">
      <c r="A68" s="918"/>
      <c r="B68" s="832"/>
      <c r="C68" s="4"/>
      <c r="D68" s="83" t="s">
        <v>181</v>
      </c>
      <c r="E68" s="30"/>
      <c r="F68" s="37"/>
      <c r="G68" s="383">
        <v>150</v>
      </c>
      <c r="H68" s="384">
        <f t="shared" si="11"/>
        <v>750000</v>
      </c>
      <c r="I68" s="395"/>
      <c r="J68" s="17"/>
    </row>
    <row r="69" spans="1:10" s="2" customFormat="1" ht="20.25" customHeight="1" x14ac:dyDescent="0.25">
      <c r="A69" s="104"/>
      <c r="B69" s="832"/>
      <c r="C69" s="63"/>
      <c r="D69" s="70" t="s">
        <v>80</v>
      </c>
      <c r="E69" s="70">
        <f t="shared" ref="E69:J69" si="12">SUM(E70:E73)</f>
        <v>130</v>
      </c>
      <c r="F69" s="84">
        <f t="shared" si="12"/>
        <v>880000</v>
      </c>
      <c r="G69" s="70">
        <f t="shared" si="12"/>
        <v>850</v>
      </c>
      <c r="H69" s="71">
        <f t="shared" si="12"/>
        <v>4250000</v>
      </c>
      <c r="I69" s="70">
        <f t="shared" si="12"/>
        <v>47</v>
      </c>
      <c r="J69" s="71">
        <f t="shared" si="12"/>
        <v>235000</v>
      </c>
    </row>
    <row r="70" spans="1:10" s="2" customFormat="1" ht="14.25" customHeight="1" x14ac:dyDescent="0.25">
      <c r="A70" s="104"/>
      <c r="B70" s="832"/>
      <c r="C70" s="4"/>
      <c r="D70" s="83" t="s">
        <v>182</v>
      </c>
      <c r="E70" s="30">
        <f>50+25</f>
        <v>75</v>
      </c>
      <c r="F70" s="37">
        <f>405000+125000</f>
        <v>530000</v>
      </c>
      <c r="G70" s="383">
        <v>180</v>
      </c>
      <c r="H70" s="384">
        <f>G70*5000</f>
        <v>900000</v>
      </c>
      <c r="I70" s="395">
        <f>27+20</f>
        <v>47</v>
      </c>
      <c r="J70" s="17">
        <f>135000+100000</f>
        <v>235000</v>
      </c>
    </row>
    <row r="71" spans="1:10" s="2" customFormat="1" ht="14.25" customHeight="1" x14ac:dyDescent="0.25">
      <c r="A71" s="104"/>
      <c r="B71" s="832"/>
      <c r="C71" s="4"/>
      <c r="D71" s="83" t="s">
        <v>183</v>
      </c>
      <c r="E71" s="30">
        <f>40</f>
        <v>40</v>
      </c>
      <c r="F71" s="37">
        <f>200000</f>
        <v>200000</v>
      </c>
      <c r="G71" s="383">
        <v>370</v>
      </c>
      <c r="H71" s="384">
        <f>G71*5000</f>
        <v>1850000</v>
      </c>
      <c r="I71" s="395"/>
      <c r="J71" s="17"/>
    </row>
    <row r="72" spans="1:10" s="2" customFormat="1" ht="14.25" customHeight="1" x14ac:dyDescent="0.25">
      <c r="A72" s="104"/>
      <c r="B72" s="832"/>
      <c r="C72" s="4"/>
      <c r="D72" s="83" t="s">
        <v>184</v>
      </c>
      <c r="E72" s="30">
        <f>15</f>
        <v>15</v>
      </c>
      <c r="F72" s="37">
        <f>150000</f>
        <v>150000</v>
      </c>
      <c r="G72" s="383">
        <v>180</v>
      </c>
      <c r="H72" s="384">
        <f>G72*5000</f>
        <v>900000</v>
      </c>
      <c r="I72" s="395"/>
      <c r="J72" s="17"/>
    </row>
    <row r="73" spans="1:10" s="2" customFormat="1" ht="14.25" customHeight="1" x14ac:dyDescent="0.25">
      <c r="A73" s="104"/>
      <c r="B73" s="832"/>
      <c r="C73" s="4"/>
      <c r="D73" s="83" t="s">
        <v>185</v>
      </c>
      <c r="E73" s="30"/>
      <c r="F73" s="37"/>
      <c r="G73" s="383">
        <v>120</v>
      </c>
      <c r="H73" s="384">
        <f>G73*5000</f>
        <v>600000</v>
      </c>
      <c r="I73" s="395"/>
      <c r="J73" s="17"/>
    </row>
    <row r="74" spans="1:10" s="2" customFormat="1" ht="18" customHeight="1" x14ac:dyDescent="0.25">
      <c r="A74" s="104"/>
      <c r="B74" s="832"/>
      <c r="C74" s="63"/>
      <c r="D74" s="70" t="s">
        <v>97</v>
      </c>
      <c r="E74" s="70">
        <f t="shared" ref="E74:J74" si="13">SUM(E75:E78)</f>
        <v>75</v>
      </c>
      <c r="F74" s="84">
        <f t="shared" si="13"/>
        <v>405000</v>
      </c>
      <c r="G74" s="70">
        <f t="shared" si="13"/>
        <v>937</v>
      </c>
      <c r="H74" s="71">
        <f t="shared" si="13"/>
        <v>4685000</v>
      </c>
      <c r="I74" s="70">
        <f t="shared" si="13"/>
        <v>0</v>
      </c>
      <c r="J74" s="71">
        <f t="shared" si="13"/>
        <v>0</v>
      </c>
    </row>
    <row r="75" spans="1:10" s="2" customFormat="1" ht="14.25" customHeight="1" x14ac:dyDescent="0.25">
      <c r="A75" s="104"/>
      <c r="B75" s="832"/>
      <c r="C75" s="4"/>
      <c r="D75" s="83" t="s">
        <v>186</v>
      </c>
      <c r="E75" s="30"/>
      <c r="F75" s="37"/>
      <c r="G75" s="383">
        <v>80</v>
      </c>
      <c r="H75" s="384">
        <f>G75*5000</f>
        <v>400000</v>
      </c>
      <c r="I75" s="395"/>
      <c r="J75" s="17"/>
    </row>
    <row r="76" spans="1:10" s="2" customFormat="1" ht="14.25" customHeight="1" x14ac:dyDescent="0.25">
      <c r="A76" s="104"/>
      <c r="B76" s="832"/>
      <c r="C76" s="4"/>
      <c r="D76" s="83" t="s">
        <v>187</v>
      </c>
      <c r="E76" s="30">
        <f>25</f>
        <v>25</v>
      </c>
      <c r="F76" s="37">
        <f>125000</f>
        <v>125000</v>
      </c>
      <c r="G76" s="383">
        <v>330</v>
      </c>
      <c r="H76" s="384">
        <f>G76*5000</f>
        <v>1650000</v>
      </c>
      <c r="I76" s="395"/>
      <c r="J76" s="17"/>
    </row>
    <row r="77" spans="1:10" s="2" customFormat="1" ht="14.25" customHeight="1" x14ac:dyDescent="0.25">
      <c r="A77" s="104"/>
      <c r="B77" s="832"/>
      <c r="C77" s="4"/>
      <c r="D77" s="83" t="s">
        <v>188</v>
      </c>
      <c r="E77" s="30"/>
      <c r="F77" s="37"/>
      <c r="G77" s="383">
        <v>400</v>
      </c>
      <c r="H77" s="384">
        <f>G77*5000</f>
        <v>2000000</v>
      </c>
      <c r="I77" s="395"/>
      <c r="J77" s="17"/>
    </row>
    <row r="78" spans="1:10" s="2" customFormat="1" ht="14.25" customHeight="1" x14ac:dyDescent="0.25">
      <c r="A78" s="153"/>
      <c r="B78" s="833"/>
      <c r="C78" s="4"/>
      <c r="D78" s="83" t="s">
        <v>189</v>
      </c>
      <c r="E78" s="30">
        <f>50</f>
        <v>50</v>
      </c>
      <c r="F78" s="37">
        <f>280000</f>
        <v>280000</v>
      </c>
      <c r="G78" s="383">
        <v>127</v>
      </c>
      <c r="H78" s="384">
        <f>G78*5000</f>
        <v>635000</v>
      </c>
      <c r="I78" s="395"/>
      <c r="J78" s="17"/>
    </row>
    <row r="79" spans="1:10" s="182" customFormat="1" ht="6" customHeight="1" x14ac:dyDescent="0.25">
      <c r="F79" s="183"/>
    </row>
    <row r="80" spans="1:10" s="182" customFormat="1" ht="6" customHeight="1" x14ac:dyDescent="0.25">
      <c r="F80" s="183"/>
    </row>
    <row r="81" spans="1:10" s="182" customFormat="1" ht="6" customHeight="1" x14ac:dyDescent="0.25">
      <c r="F81" s="183"/>
    </row>
    <row r="82" spans="1:10" s="182" customFormat="1" ht="6" customHeight="1" x14ac:dyDescent="0.25">
      <c r="F82" s="183"/>
    </row>
    <row r="83" spans="1:10" s="182" customFormat="1" ht="6" customHeight="1" x14ac:dyDescent="0.25">
      <c r="F83" s="183"/>
    </row>
    <row r="84" spans="1:10" s="182" customFormat="1" ht="6" customHeight="1" x14ac:dyDescent="0.25">
      <c r="F84" s="183"/>
    </row>
    <row r="85" spans="1:10" s="182" customFormat="1" ht="6" customHeight="1" x14ac:dyDescent="0.25">
      <c r="F85" s="183"/>
    </row>
    <row r="86" spans="1:10" s="182" customFormat="1" ht="6" customHeight="1" x14ac:dyDescent="0.25">
      <c r="F86" s="183"/>
    </row>
    <row r="87" spans="1:10" s="182" customFormat="1" ht="6" customHeight="1" x14ac:dyDescent="0.25">
      <c r="F87" s="183"/>
    </row>
    <row r="88" spans="1:10" s="182" customFormat="1" ht="6" customHeight="1" x14ac:dyDescent="0.25">
      <c r="F88" s="183"/>
    </row>
    <row r="89" spans="1:10" s="9" customFormat="1" ht="18" customHeight="1" x14ac:dyDescent="0.25">
      <c r="A89" s="46" t="s">
        <v>6</v>
      </c>
      <c r="B89" s="831" t="s">
        <v>54</v>
      </c>
      <c r="C89" s="856" t="s">
        <v>20</v>
      </c>
      <c r="D89" s="155" t="s">
        <v>81</v>
      </c>
      <c r="E89" s="164">
        <f t="shared" ref="E89:J89" si="14">E90+E101+E106</f>
        <v>25629</v>
      </c>
      <c r="F89" s="160">
        <f t="shared" si="14"/>
        <v>31818846</v>
      </c>
      <c r="G89" s="164">
        <f t="shared" si="14"/>
        <v>33834</v>
      </c>
      <c r="H89" s="160">
        <f t="shared" si="14"/>
        <v>52781040</v>
      </c>
      <c r="I89" s="164">
        <f t="shared" si="14"/>
        <v>5439</v>
      </c>
      <c r="J89" s="160">
        <f t="shared" si="14"/>
        <v>8550120</v>
      </c>
    </row>
    <row r="90" spans="1:10" s="3" customFormat="1" ht="20.25" customHeight="1" x14ac:dyDescent="0.25">
      <c r="A90" s="6"/>
      <c r="B90" s="832"/>
      <c r="C90" s="857"/>
      <c r="D90" s="70" t="s">
        <v>79</v>
      </c>
      <c r="E90" s="70">
        <f t="shared" ref="E90:J90" si="15">SUM(E91:E100)</f>
        <v>8984</v>
      </c>
      <c r="F90" s="84">
        <f t="shared" si="15"/>
        <v>14076180</v>
      </c>
      <c r="G90" s="70">
        <f t="shared" si="15"/>
        <v>13304</v>
      </c>
      <c r="H90" s="71">
        <f t="shared" si="15"/>
        <v>20754240</v>
      </c>
      <c r="I90" s="70">
        <f t="shared" si="15"/>
        <v>1773</v>
      </c>
      <c r="J90" s="71">
        <f t="shared" si="15"/>
        <v>2787180</v>
      </c>
    </row>
    <row r="91" spans="1:10" s="2" customFormat="1" ht="14.25" customHeight="1" x14ac:dyDescent="0.25">
      <c r="A91" s="18"/>
      <c r="B91" s="832"/>
      <c r="C91" s="857"/>
      <c r="D91" s="83" t="s">
        <v>172</v>
      </c>
      <c r="E91" s="30">
        <v>360</v>
      </c>
      <c r="F91" s="37">
        <v>565900</v>
      </c>
      <c r="G91" s="4">
        <v>432</v>
      </c>
      <c r="H91" s="17">
        <v>673920</v>
      </c>
      <c r="I91" s="395"/>
      <c r="J91" s="17"/>
    </row>
    <row r="92" spans="1:10" s="2" customFormat="1" ht="14.25" customHeight="1" x14ac:dyDescent="0.25">
      <c r="A92" s="972"/>
      <c r="B92" s="832"/>
      <c r="C92" s="857"/>
      <c r="D92" s="83" t="s">
        <v>173</v>
      </c>
      <c r="E92" s="30">
        <v>1958</v>
      </c>
      <c r="F92" s="37">
        <v>3087980</v>
      </c>
      <c r="G92" s="4">
        <v>4350</v>
      </c>
      <c r="H92" s="17">
        <v>6786000</v>
      </c>
      <c r="I92" s="395"/>
      <c r="J92" s="17"/>
    </row>
    <row r="93" spans="1:10" s="2" customFormat="1" ht="14.25" customHeight="1" x14ac:dyDescent="0.25">
      <c r="A93" s="918"/>
      <c r="B93" s="832"/>
      <c r="C93" s="857"/>
      <c r="D93" s="83" t="s">
        <v>174</v>
      </c>
      <c r="E93" s="30">
        <v>817</v>
      </c>
      <c r="F93" s="37">
        <v>1227710</v>
      </c>
      <c r="G93" s="4">
        <v>937</v>
      </c>
      <c r="H93" s="17">
        <v>1461720</v>
      </c>
      <c r="I93" s="395">
        <v>840</v>
      </c>
      <c r="J93" s="17">
        <v>1320500</v>
      </c>
    </row>
    <row r="94" spans="1:10" s="2" customFormat="1" ht="14.25" customHeight="1" x14ac:dyDescent="0.25">
      <c r="A94" s="918"/>
      <c r="B94" s="832"/>
      <c r="C94" s="857"/>
      <c r="D94" s="83" t="s">
        <v>175</v>
      </c>
      <c r="E94" s="30">
        <v>1330</v>
      </c>
      <c r="F94" s="37">
        <v>2090750</v>
      </c>
      <c r="G94" s="4">
        <v>1596</v>
      </c>
      <c r="H94" s="17">
        <v>2489760</v>
      </c>
      <c r="I94" s="395"/>
      <c r="J94" s="17"/>
    </row>
    <row r="95" spans="1:10" s="2" customFormat="1" ht="14.25" customHeight="1" x14ac:dyDescent="0.25">
      <c r="A95" s="918"/>
      <c r="B95" s="832"/>
      <c r="C95" s="857"/>
      <c r="D95" s="83" t="s">
        <v>176</v>
      </c>
      <c r="E95" s="30">
        <v>1516</v>
      </c>
      <c r="F95" s="37">
        <v>2383160</v>
      </c>
      <c r="G95" s="4">
        <v>1819</v>
      </c>
      <c r="H95" s="17">
        <v>2837640</v>
      </c>
      <c r="I95" s="395"/>
      <c r="J95" s="17"/>
    </row>
    <row r="96" spans="1:10" s="2" customFormat="1" ht="14.25" customHeight="1" x14ac:dyDescent="0.25">
      <c r="A96" s="918"/>
      <c r="B96" s="832"/>
      <c r="C96" s="857"/>
      <c r="D96" s="83" t="s">
        <v>177</v>
      </c>
      <c r="E96" s="30">
        <v>556</v>
      </c>
      <c r="F96" s="37">
        <v>874010</v>
      </c>
      <c r="G96" s="4">
        <v>700</v>
      </c>
      <c r="H96" s="17">
        <v>1092000</v>
      </c>
      <c r="I96" s="395"/>
      <c r="J96" s="17"/>
    </row>
    <row r="97" spans="1:10" s="2" customFormat="1" ht="14.25" customHeight="1" x14ac:dyDescent="0.25">
      <c r="A97" s="918"/>
      <c r="B97" s="832"/>
      <c r="C97" s="857"/>
      <c r="D97" s="83" t="s">
        <v>178</v>
      </c>
      <c r="E97" s="30">
        <v>472</v>
      </c>
      <c r="F97" s="37">
        <v>741970</v>
      </c>
      <c r="G97" s="4">
        <v>600</v>
      </c>
      <c r="H97" s="17">
        <v>936000</v>
      </c>
      <c r="I97" s="395"/>
      <c r="J97" s="17"/>
    </row>
    <row r="98" spans="1:10" s="2" customFormat="1" ht="14.25" customHeight="1" x14ac:dyDescent="0.25">
      <c r="A98" s="918"/>
      <c r="B98" s="832"/>
      <c r="C98" s="857"/>
      <c r="D98" s="83" t="s">
        <v>179</v>
      </c>
      <c r="E98" s="30">
        <v>375</v>
      </c>
      <c r="F98" s="37">
        <v>589500</v>
      </c>
      <c r="G98" s="4">
        <v>950</v>
      </c>
      <c r="H98" s="17">
        <v>1482000</v>
      </c>
      <c r="I98" s="395"/>
      <c r="J98" s="17"/>
    </row>
    <row r="99" spans="1:10" s="2" customFormat="1" ht="14.25" customHeight="1" x14ac:dyDescent="0.25">
      <c r="A99" s="918"/>
      <c r="B99" s="832"/>
      <c r="C99" s="857"/>
      <c r="D99" s="83" t="s">
        <v>180</v>
      </c>
      <c r="E99" s="30">
        <v>766</v>
      </c>
      <c r="F99" s="37">
        <v>1204160</v>
      </c>
      <c r="G99" s="4">
        <v>919</v>
      </c>
      <c r="H99" s="17">
        <v>1433640</v>
      </c>
      <c r="I99" s="395"/>
      <c r="J99" s="17"/>
    </row>
    <row r="100" spans="1:10" s="2" customFormat="1" ht="14.25" customHeight="1" x14ac:dyDescent="0.25">
      <c r="A100" s="918"/>
      <c r="B100" s="832"/>
      <c r="C100" s="857"/>
      <c r="D100" s="83" t="s">
        <v>181</v>
      </c>
      <c r="E100" s="30">
        <v>834</v>
      </c>
      <c r="F100" s="37">
        <v>1311040</v>
      </c>
      <c r="G100" s="4">
        <v>1001</v>
      </c>
      <c r="H100" s="17">
        <v>1561560</v>
      </c>
      <c r="I100" s="395">
        <v>933</v>
      </c>
      <c r="J100" s="17">
        <v>1466680</v>
      </c>
    </row>
    <row r="101" spans="1:10" s="2" customFormat="1" ht="20.25" customHeight="1" x14ac:dyDescent="0.25">
      <c r="A101" s="77"/>
      <c r="B101" s="832"/>
      <c r="C101" s="857"/>
      <c r="D101" s="70" t="s">
        <v>80</v>
      </c>
      <c r="E101" s="70">
        <f t="shared" ref="E101:J101" si="16">SUM(E102:E105)</f>
        <v>9383</v>
      </c>
      <c r="F101" s="84">
        <f t="shared" si="16"/>
        <v>6326796</v>
      </c>
      <c r="G101" s="70">
        <f t="shared" si="16"/>
        <v>11815</v>
      </c>
      <c r="H101" s="71">
        <f t="shared" si="16"/>
        <v>18431400</v>
      </c>
      <c r="I101" s="70">
        <f t="shared" si="16"/>
        <v>2151</v>
      </c>
      <c r="J101" s="71">
        <f t="shared" si="16"/>
        <v>3381360</v>
      </c>
    </row>
    <row r="102" spans="1:10" s="2" customFormat="1" ht="14.25" customHeight="1" x14ac:dyDescent="0.25">
      <c r="A102" s="77"/>
      <c r="B102" s="832"/>
      <c r="C102" s="857"/>
      <c r="D102" s="83" t="s">
        <v>182</v>
      </c>
      <c r="E102" s="30">
        <v>2047</v>
      </c>
      <c r="F102" s="37">
        <v>3217870</v>
      </c>
      <c r="G102" s="4">
        <v>2457</v>
      </c>
      <c r="H102" s="17">
        <v>3832920</v>
      </c>
      <c r="I102" s="395">
        <v>2151</v>
      </c>
      <c r="J102" s="17">
        <v>3381360</v>
      </c>
    </row>
    <row r="103" spans="1:10" s="2" customFormat="1" ht="14.25" customHeight="1" x14ac:dyDescent="0.25">
      <c r="A103" s="77"/>
      <c r="B103" s="832"/>
      <c r="C103" s="857"/>
      <c r="D103" s="83" t="s">
        <v>183</v>
      </c>
      <c r="E103" s="30">
        <v>801</v>
      </c>
      <c r="F103" s="37">
        <v>645606</v>
      </c>
      <c r="G103" s="4">
        <v>1515</v>
      </c>
      <c r="H103" s="17">
        <v>2363400</v>
      </c>
      <c r="I103" s="395"/>
      <c r="J103" s="17"/>
    </row>
    <row r="104" spans="1:10" s="2" customFormat="1" ht="14.25" customHeight="1" x14ac:dyDescent="0.25">
      <c r="A104" s="77"/>
      <c r="B104" s="832"/>
      <c r="C104" s="857"/>
      <c r="D104" s="83" t="s">
        <v>184</v>
      </c>
      <c r="E104" s="30">
        <v>4968</v>
      </c>
      <c r="F104" s="37" t="s">
        <v>205</v>
      </c>
      <c r="G104" s="4">
        <v>5962</v>
      </c>
      <c r="H104" s="17">
        <v>9300720</v>
      </c>
      <c r="I104" s="395"/>
      <c r="J104" s="17"/>
    </row>
    <row r="105" spans="1:10" s="2" customFormat="1" ht="14.25" customHeight="1" x14ac:dyDescent="0.25">
      <c r="A105" s="77"/>
      <c r="B105" s="832"/>
      <c r="C105" s="857"/>
      <c r="D105" s="83" t="s">
        <v>185</v>
      </c>
      <c r="E105" s="30">
        <v>1567</v>
      </c>
      <c r="F105" s="37">
        <v>2463320</v>
      </c>
      <c r="G105" s="4">
        <v>1881</v>
      </c>
      <c r="H105" s="17">
        <v>2934360</v>
      </c>
      <c r="I105" s="395"/>
      <c r="J105" s="17"/>
    </row>
    <row r="106" spans="1:10" s="2" customFormat="1" ht="19.5" customHeight="1" x14ac:dyDescent="0.25">
      <c r="A106" s="77"/>
      <c r="B106" s="832"/>
      <c r="C106" s="857"/>
      <c r="D106" s="70" t="s">
        <v>97</v>
      </c>
      <c r="E106" s="70">
        <f t="shared" ref="E106:J106" si="17">SUM(E107:E110)</f>
        <v>7262</v>
      </c>
      <c r="F106" s="84">
        <f t="shared" si="17"/>
        <v>11415870</v>
      </c>
      <c r="G106" s="70">
        <f t="shared" si="17"/>
        <v>8715</v>
      </c>
      <c r="H106" s="71">
        <f t="shared" si="17"/>
        <v>13595400</v>
      </c>
      <c r="I106" s="70">
        <f t="shared" si="17"/>
        <v>1515</v>
      </c>
      <c r="J106" s="71">
        <f t="shared" si="17"/>
        <v>2381580</v>
      </c>
    </row>
    <row r="107" spans="1:10" s="2" customFormat="1" ht="14.25" customHeight="1" x14ac:dyDescent="0.25">
      <c r="A107" s="77"/>
      <c r="B107" s="832"/>
      <c r="C107" s="857"/>
      <c r="D107" s="83" t="s">
        <v>186</v>
      </c>
      <c r="E107" s="30">
        <v>1029</v>
      </c>
      <c r="F107" s="37">
        <v>1617590</v>
      </c>
      <c r="G107" s="4">
        <v>1235</v>
      </c>
      <c r="H107" s="17">
        <v>1926600</v>
      </c>
      <c r="I107" s="395"/>
      <c r="J107" s="17"/>
    </row>
    <row r="108" spans="1:10" s="2" customFormat="1" ht="14.25" customHeight="1" x14ac:dyDescent="0.25">
      <c r="A108" s="77"/>
      <c r="B108" s="832"/>
      <c r="C108" s="857"/>
      <c r="D108" s="83" t="s">
        <v>187</v>
      </c>
      <c r="E108" s="30">
        <v>1920</v>
      </c>
      <c r="F108" s="37">
        <v>3018250</v>
      </c>
      <c r="G108" s="4">
        <v>2304</v>
      </c>
      <c r="H108" s="17">
        <v>3594240</v>
      </c>
      <c r="I108" s="395"/>
      <c r="J108" s="17"/>
    </row>
    <row r="109" spans="1:10" s="2" customFormat="1" ht="14.25" customHeight="1" x14ac:dyDescent="0.25">
      <c r="A109" s="77"/>
      <c r="B109" s="832"/>
      <c r="C109" s="857"/>
      <c r="D109" s="83" t="s">
        <v>188</v>
      </c>
      <c r="E109" s="30">
        <v>2708</v>
      </c>
      <c r="F109" s="37">
        <v>4256980</v>
      </c>
      <c r="G109" s="4">
        <v>3250</v>
      </c>
      <c r="H109" s="17">
        <v>5070000</v>
      </c>
      <c r="I109" s="395"/>
      <c r="J109" s="17"/>
    </row>
    <row r="110" spans="1:10" s="2" customFormat="1" ht="14.25" customHeight="1" x14ac:dyDescent="0.25">
      <c r="A110" s="77"/>
      <c r="B110" s="832"/>
      <c r="C110" s="857"/>
      <c r="D110" s="83" t="s">
        <v>189</v>
      </c>
      <c r="E110" s="30">
        <v>1605</v>
      </c>
      <c r="F110" s="37">
        <v>2523050</v>
      </c>
      <c r="G110" s="4">
        <v>1926</v>
      </c>
      <c r="H110" s="17">
        <v>3004560</v>
      </c>
      <c r="I110" s="395">
        <v>1515</v>
      </c>
      <c r="J110" s="17">
        <v>2381580</v>
      </c>
    </row>
    <row r="111" spans="1:10" s="8" customFormat="1" ht="6" customHeight="1" x14ac:dyDescent="0.25">
      <c r="A111" s="7"/>
      <c r="B111" s="7"/>
      <c r="C111" s="7"/>
      <c r="D111" s="7"/>
      <c r="E111" s="7"/>
      <c r="F111" s="93"/>
      <c r="G111" s="7"/>
      <c r="H111" s="7"/>
      <c r="I111" s="7"/>
      <c r="J111" s="7"/>
    </row>
    <row r="112" spans="1:10" s="9" customFormat="1" ht="20.25" customHeight="1" x14ac:dyDescent="0.25">
      <c r="A112" s="926" t="s">
        <v>16</v>
      </c>
      <c r="B112" s="856" t="s">
        <v>55</v>
      </c>
      <c r="C112" s="856" t="s">
        <v>19</v>
      </c>
      <c r="D112" s="155" t="s">
        <v>81</v>
      </c>
      <c r="E112" s="161">
        <f t="shared" ref="E112:J112" si="18">E113+E124+E129</f>
        <v>2331</v>
      </c>
      <c r="F112" s="158">
        <f t="shared" si="18"/>
        <v>13986000</v>
      </c>
      <c r="G112" s="161">
        <f t="shared" si="18"/>
        <v>2331</v>
      </c>
      <c r="H112" s="158">
        <f t="shared" si="18"/>
        <v>13986000</v>
      </c>
      <c r="I112" s="161">
        <f t="shared" si="18"/>
        <v>0</v>
      </c>
      <c r="J112" s="158">
        <f t="shared" si="18"/>
        <v>0</v>
      </c>
    </row>
    <row r="113" spans="1:10" s="3" customFormat="1" ht="21" customHeight="1" x14ac:dyDescent="0.25">
      <c r="A113" s="927"/>
      <c r="B113" s="857"/>
      <c r="C113" s="857"/>
      <c r="D113" s="70" t="s">
        <v>79</v>
      </c>
      <c r="E113" s="70">
        <f t="shared" ref="E113:J113" si="19">SUM(E114:E123)</f>
        <v>1022</v>
      </c>
      <c r="F113" s="84">
        <f t="shared" si="19"/>
        <v>6132000</v>
      </c>
      <c r="G113" s="70">
        <f t="shared" si="19"/>
        <v>1022</v>
      </c>
      <c r="H113" s="71">
        <f t="shared" si="19"/>
        <v>6132000</v>
      </c>
      <c r="I113" s="70">
        <f t="shared" si="19"/>
        <v>0</v>
      </c>
      <c r="J113" s="71">
        <f t="shared" si="19"/>
        <v>0</v>
      </c>
    </row>
    <row r="114" spans="1:10" s="2" customFormat="1" ht="14.25" customHeight="1" x14ac:dyDescent="0.25">
      <c r="A114" s="18"/>
      <c r="B114" s="857"/>
      <c r="C114" s="857"/>
      <c r="D114" s="83" t="s">
        <v>172</v>
      </c>
      <c r="E114" s="383">
        <v>105</v>
      </c>
      <c r="F114" s="413">
        <f t="shared" ref="F114:F123" si="20">E114*500*12</f>
        <v>630000</v>
      </c>
      <c r="G114" s="383">
        <v>105</v>
      </c>
      <c r="H114" s="17">
        <f>G114*500*12</f>
        <v>630000</v>
      </c>
      <c r="I114" s="395"/>
      <c r="J114" s="17"/>
    </row>
    <row r="115" spans="1:10" s="2" customFormat="1" ht="14.25" customHeight="1" x14ac:dyDescent="0.25">
      <c r="A115" s="972"/>
      <c r="B115" s="857"/>
      <c r="C115" s="857"/>
      <c r="D115" s="83" t="s">
        <v>173</v>
      </c>
      <c r="E115" s="383">
        <v>125</v>
      </c>
      <c r="F115" s="413">
        <f t="shared" si="20"/>
        <v>750000</v>
      </c>
      <c r="G115" s="383">
        <v>125</v>
      </c>
      <c r="H115" s="17">
        <f t="shared" ref="H115:H133" si="21">G115*500*12</f>
        <v>750000</v>
      </c>
      <c r="I115" s="395"/>
      <c r="J115" s="17"/>
    </row>
    <row r="116" spans="1:10" s="2" customFormat="1" ht="14.25" customHeight="1" x14ac:dyDescent="0.25">
      <c r="A116" s="918"/>
      <c r="B116" s="857"/>
      <c r="C116" s="857"/>
      <c r="D116" s="83" t="s">
        <v>174</v>
      </c>
      <c r="E116" s="383">
        <v>127</v>
      </c>
      <c r="F116" s="413">
        <f t="shared" si="20"/>
        <v>762000</v>
      </c>
      <c r="G116" s="383">
        <v>127</v>
      </c>
      <c r="H116" s="17">
        <f t="shared" si="21"/>
        <v>762000</v>
      </c>
      <c r="I116" s="395"/>
      <c r="J116" s="17"/>
    </row>
    <row r="117" spans="1:10" s="2" customFormat="1" ht="14.25" customHeight="1" x14ac:dyDescent="0.25">
      <c r="A117" s="918"/>
      <c r="B117" s="857"/>
      <c r="C117" s="857"/>
      <c r="D117" s="83" t="s">
        <v>175</v>
      </c>
      <c r="E117" s="383">
        <v>135</v>
      </c>
      <c r="F117" s="413">
        <f t="shared" si="20"/>
        <v>810000</v>
      </c>
      <c r="G117" s="383">
        <v>135</v>
      </c>
      <c r="H117" s="17">
        <f t="shared" si="21"/>
        <v>810000</v>
      </c>
      <c r="I117" s="395"/>
      <c r="J117" s="17"/>
    </row>
    <row r="118" spans="1:10" s="2" customFormat="1" ht="14.25" customHeight="1" x14ac:dyDescent="0.25">
      <c r="A118" s="918"/>
      <c r="B118" s="857"/>
      <c r="C118" s="857"/>
      <c r="D118" s="83" t="s">
        <v>176</v>
      </c>
      <c r="E118" s="383">
        <v>129</v>
      </c>
      <c r="F118" s="413">
        <f t="shared" si="20"/>
        <v>774000</v>
      </c>
      <c r="G118" s="383">
        <v>129</v>
      </c>
      <c r="H118" s="17">
        <f t="shared" si="21"/>
        <v>774000</v>
      </c>
      <c r="I118" s="395"/>
      <c r="J118" s="17"/>
    </row>
    <row r="119" spans="1:10" s="2" customFormat="1" ht="14.25" customHeight="1" x14ac:dyDescent="0.25">
      <c r="A119" s="918"/>
      <c r="B119" s="857"/>
      <c r="C119" s="857"/>
      <c r="D119" s="83" t="s">
        <v>177</v>
      </c>
      <c r="E119" s="383">
        <v>80</v>
      </c>
      <c r="F119" s="413">
        <f t="shared" si="20"/>
        <v>480000</v>
      </c>
      <c r="G119" s="383">
        <v>80</v>
      </c>
      <c r="H119" s="17">
        <f t="shared" si="21"/>
        <v>480000</v>
      </c>
      <c r="I119" s="395"/>
      <c r="J119" s="17"/>
    </row>
    <row r="120" spans="1:10" s="2" customFormat="1" ht="14.25" customHeight="1" x14ac:dyDescent="0.25">
      <c r="A120" s="918"/>
      <c r="B120" s="857"/>
      <c r="C120" s="857"/>
      <c r="D120" s="83" t="s">
        <v>178</v>
      </c>
      <c r="E120" s="383">
        <v>80</v>
      </c>
      <c r="F120" s="413">
        <f t="shared" si="20"/>
        <v>480000</v>
      </c>
      <c r="G120" s="383">
        <v>80</v>
      </c>
      <c r="H120" s="17">
        <f t="shared" si="21"/>
        <v>480000</v>
      </c>
      <c r="I120" s="395"/>
      <c r="J120" s="17"/>
    </row>
    <row r="121" spans="1:10" s="2" customFormat="1" ht="14.25" customHeight="1" x14ac:dyDescent="0.25">
      <c r="A121" s="918"/>
      <c r="B121" s="857"/>
      <c r="C121" s="857"/>
      <c r="D121" s="83" t="s">
        <v>179</v>
      </c>
      <c r="E121" s="383">
        <v>70</v>
      </c>
      <c r="F121" s="413">
        <f t="shared" si="20"/>
        <v>420000</v>
      </c>
      <c r="G121" s="383">
        <v>70</v>
      </c>
      <c r="H121" s="17">
        <f t="shared" si="21"/>
        <v>420000</v>
      </c>
      <c r="I121" s="395"/>
      <c r="J121" s="17"/>
    </row>
    <row r="122" spans="1:10" s="2" customFormat="1" ht="14.25" customHeight="1" x14ac:dyDescent="0.25">
      <c r="A122" s="918"/>
      <c r="B122" s="857"/>
      <c r="C122" s="857"/>
      <c r="D122" s="83" t="s">
        <v>180</v>
      </c>
      <c r="E122" s="383">
        <v>65</v>
      </c>
      <c r="F122" s="413">
        <f t="shared" si="20"/>
        <v>390000</v>
      </c>
      <c r="G122" s="383">
        <v>65</v>
      </c>
      <c r="H122" s="17">
        <f t="shared" si="21"/>
        <v>390000</v>
      </c>
      <c r="I122" s="395"/>
      <c r="J122" s="17"/>
    </row>
    <row r="123" spans="1:10" s="2" customFormat="1" ht="14.25" customHeight="1" x14ac:dyDescent="0.25">
      <c r="A123" s="918"/>
      <c r="B123" s="857"/>
      <c r="C123" s="857"/>
      <c r="D123" s="83" t="s">
        <v>181</v>
      </c>
      <c r="E123" s="383">
        <v>106</v>
      </c>
      <c r="F123" s="413">
        <f t="shared" si="20"/>
        <v>636000</v>
      </c>
      <c r="G123" s="383">
        <v>106</v>
      </c>
      <c r="H123" s="17">
        <f t="shared" si="21"/>
        <v>636000</v>
      </c>
      <c r="I123" s="395"/>
      <c r="J123" s="17"/>
    </row>
    <row r="124" spans="1:10" s="2" customFormat="1" ht="17.25" customHeight="1" x14ac:dyDescent="0.25">
      <c r="A124" s="77"/>
      <c r="B124" s="857"/>
      <c r="C124" s="857"/>
      <c r="D124" s="70" t="s">
        <v>80</v>
      </c>
      <c r="E124" s="70">
        <f t="shared" ref="E124:J124" si="22">SUM(E125:E128)</f>
        <v>772</v>
      </c>
      <c r="F124" s="84">
        <f t="shared" si="22"/>
        <v>4632000</v>
      </c>
      <c r="G124" s="70">
        <f t="shared" si="22"/>
        <v>772</v>
      </c>
      <c r="H124" s="71">
        <f t="shared" si="22"/>
        <v>4632000</v>
      </c>
      <c r="I124" s="70">
        <f t="shared" si="22"/>
        <v>0</v>
      </c>
      <c r="J124" s="71">
        <f t="shared" si="22"/>
        <v>0</v>
      </c>
    </row>
    <row r="125" spans="1:10" s="2" customFormat="1" ht="14.25" customHeight="1" x14ac:dyDescent="0.25">
      <c r="A125" s="77"/>
      <c r="B125" s="857"/>
      <c r="C125" s="857"/>
      <c r="D125" s="83" t="s">
        <v>182</v>
      </c>
      <c r="E125" s="383">
        <v>181</v>
      </c>
      <c r="F125" s="413">
        <f>E125*500*12</f>
        <v>1086000</v>
      </c>
      <c r="G125" s="383">
        <v>181</v>
      </c>
      <c r="H125" s="17">
        <f t="shared" si="21"/>
        <v>1086000</v>
      </c>
      <c r="I125" s="395"/>
      <c r="J125" s="17"/>
    </row>
    <row r="126" spans="1:10" s="2" customFormat="1" ht="14.25" customHeight="1" x14ac:dyDescent="0.25">
      <c r="A126" s="77"/>
      <c r="B126" s="857"/>
      <c r="C126" s="857"/>
      <c r="D126" s="83" t="s">
        <v>183</v>
      </c>
      <c r="E126" s="383">
        <v>106</v>
      </c>
      <c r="F126" s="413">
        <f>E126*500*12</f>
        <v>636000</v>
      </c>
      <c r="G126" s="383">
        <v>106</v>
      </c>
      <c r="H126" s="17">
        <f t="shared" si="21"/>
        <v>636000</v>
      </c>
      <c r="I126" s="395"/>
      <c r="J126" s="17"/>
    </row>
    <row r="127" spans="1:10" s="2" customFormat="1" ht="14.25" customHeight="1" x14ac:dyDescent="0.25">
      <c r="A127" s="77"/>
      <c r="B127" s="857"/>
      <c r="C127" s="857"/>
      <c r="D127" s="83" t="s">
        <v>184</v>
      </c>
      <c r="E127" s="383">
        <v>348</v>
      </c>
      <c r="F127" s="413">
        <f>E127*500*12</f>
        <v>2088000</v>
      </c>
      <c r="G127" s="383">
        <v>348</v>
      </c>
      <c r="H127" s="17">
        <f t="shared" si="21"/>
        <v>2088000</v>
      </c>
      <c r="I127" s="395"/>
      <c r="J127" s="17"/>
    </row>
    <row r="128" spans="1:10" s="2" customFormat="1" ht="14.25" customHeight="1" x14ac:dyDescent="0.25">
      <c r="A128" s="77"/>
      <c r="B128" s="857"/>
      <c r="C128" s="857"/>
      <c r="D128" s="83" t="s">
        <v>185</v>
      </c>
      <c r="E128" s="383">
        <v>137</v>
      </c>
      <c r="F128" s="413">
        <f>E128*500*12</f>
        <v>822000</v>
      </c>
      <c r="G128" s="383">
        <v>137</v>
      </c>
      <c r="H128" s="17">
        <f t="shared" si="21"/>
        <v>822000</v>
      </c>
      <c r="I128" s="395"/>
      <c r="J128" s="17"/>
    </row>
    <row r="129" spans="1:10" s="2" customFormat="1" ht="15.75" customHeight="1" x14ac:dyDescent="0.25">
      <c r="A129" s="77"/>
      <c r="B129" s="857"/>
      <c r="C129" s="857"/>
      <c r="D129" s="70" t="s">
        <v>97</v>
      </c>
      <c r="E129" s="70">
        <f t="shared" ref="E129:J129" si="23">SUM(E130:E133)</f>
        <v>537</v>
      </c>
      <c r="F129" s="84">
        <f t="shared" si="23"/>
        <v>3222000</v>
      </c>
      <c r="G129" s="70">
        <f t="shared" si="23"/>
        <v>537</v>
      </c>
      <c r="H129" s="71">
        <f t="shared" si="23"/>
        <v>3222000</v>
      </c>
      <c r="I129" s="70">
        <f t="shared" si="23"/>
        <v>0</v>
      </c>
      <c r="J129" s="71">
        <f t="shared" si="23"/>
        <v>0</v>
      </c>
    </row>
    <row r="130" spans="1:10" s="2" customFormat="1" ht="14.25" customHeight="1" x14ac:dyDescent="0.25">
      <c r="A130" s="77"/>
      <c r="B130" s="857"/>
      <c r="C130" s="857"/>
      <c r="D130" s="83" t="s">
        <v>186</v>
      </c>
      <c r="E130" s="383">
        <v>95</v>
      </c>
      <c r="F130" s="413">
        <f>E130*500*12</f>
        <v>570000</v>
      </c>
      <c r="G130" s="383">
        <v>95</v>
      </c>
      <c r="H130" s="17">
        <f t="shared" si="21"/>
        <v>570000</v>
      </c>
      <c r="I130" s="395"/>
      <c r="J130" s="17"/>
    </row>
    <row r="131" spans="1:10" s="2" customFormat="1" ht="14.25" customHeight="1" x14ac:dyDescent="0.25">
      <c r="A131" s="77"/>
      <c r="B131" s="857"/>
      <c r="C131" s="857"/>
      <c r="D131" s="83" t="s">
        <v>187</v>
      </c>
      <c r="E131" s="383">
        <v>136</v>
      </c>
      <c r="F131" s="413">
        <f>E131*500*12</f>
        <v>816000</v>
      </c>
      <c r="G131" s="383">
        <v>136</v>
      </c>
      <c r="H131" s="17">
        <f t="shared" si="21"/>
        <v>816000</v>
      </c>
      <c r="I131" s="395"/>
      <c r="J131" s="17"/>
    </row>
    <row r="132" spans="1:10" s="2" customFormat="1" ht="14.25" customHeight="1" x14ac:dyDescent="0.25">
      <c r="A132" s="77"/>
      <c r="B132" s="857"/>
      <c r="C132" s="857"/>
      <c r="D132" s="83" t="s">
        <v>188</v>
      </c>
      <c r="E132" s="383">
        <v>170</v>
      </c>
      <c r="F132" s="413">
        <f>E132*500*12</f>
        <v>1020000</v>
      </c>
      <c r="G132" s="383">
        <v>170</v>
      </c>
      <c r="H132" s="17">
        <f t="shared" si="21"/>
        <v>1020000</v>
      </c>
      <c r="I132" s="395"/>
      <c r="J132" s="17"/>
    </row>
    <row r="133" spans="1:10" s="2" customFormat="1" ht="14.25" customHeight="1" x14ac:dyDescent="0.25">
      <c r="A133" s="77"/>
      <c r="B133" s="857"/>
      <c r="C133" s="857"/>
      <c r="D133" s="83" t="s">
        <v>189</v>
      </c>
      <c r="E133" s="383">
        <v>136</v>
      </c>
      <c r="F133" s="413">
        <f>E133*500*12</f>
        <v>816000</v>
      </c>
      <c r="G133" s="383">
        <v>136</v>
      </c>
      <c r="H133" s="17">
        <f t="shared" si="21"/>
        <v>816000</v>
      </c>
      <c r="I133" s="395"/>
      <c r="J133" s="17"/>
    </row>
    <row r="134" spans="1:10" s="8" customFormat="1" ht="6" customHeight="1" x14ac:dyDescent="0.25">
      <c r="A134" s="7"/>
      <c r="B134" s="7"/>
      <c r="C134" s="7"/>
      <c r="D134" s="7"/>
      <c r="E134" s="7"/>
      <c r="F134" s="93"/>
      <c r="G134" s="7"/>
      <c r="H134" s="7"/>
      <c r="I134" s="7"/>
      <c r="J134" s="7"/>
    </row>
    <row r="135" spans="1:10" s="9" customFormat="1" ht="16.5" customHeight="1" x14ac:dyDescent="0.25">
      <c r="A135" s="926" t="s">
        <v>17</v>
      </c>
      <c r="B135" s="923" t="s">
        <v>56</v>
      </c>
      <c r="C135" s="926" t="s">
        <v>18</v>
      </c>
      <c r="D135" s="155" t="s">
        <v>81</v>
      </c>
      <c r="E135" s="161">
        <f t="shared" ref="E135:J135" si="24">E136+E147+E152</f>
        <v>29</v>
      </c>
      <c r="F135" s="158">
        <f t="shared" si="24"/>
        <v>37036</v>
      </c>
      <c r="G135" s="161">
        <f t="shared" si="24"/>
        <v>0</v>
      </c>
      <c r="H135" s="158">
        <f t="shared" si="24"/>
        <v>0</v>
      </c>
      <c r="I135" s="161">
        <f t="shared" si="24"/>
        <v>17</v>
      </c>
      <c r="J135" s="158">
        <f t="shared" si="24"/>
        <v>32450</v>
      </c>
    </row>
    <row r="136" spans="1:10" s="3" customFormat="1" ht="17.25" customHeight="1" x14ac:dyDescent="0.25">
      <c r="A136" s="927"/>
      <c r="B136" s="924"/>
      <c r="C136" s="927"/>
      <c r="D136" s="70" t="s">
        <v>79</v>
      </c>
      <c r="E136" s="70">
        <f t="shared" ref="E136:J136" si="25">SUM(E137:E146)</f>
        <v>6</v>
      </c>
      <c r="F136" s="84">
        <f t="shared" si="25"/>
        <v>6350</v>
      </c>
      <c r="G136" s="70">
        <f t="shared" si="25"/>
        <v>0</v>
      </c>
      <c r="H136" s="71">
        <f t="shared" si="25"/>
        <v>0</v>
      </c>
      <c r="I136" s="70">
        <f t="shared" si="25"/>
        <v>6</v>
      </c>
      <c r="J136" s="71">
        <f t="shared" si="25"/>
        <v>14250</v>
      </c>
    </row>
    <row r="137" spans="1:10" s="2" customFormat="1" ht="14.25" customHeight="1" x14ac:dyDescent="0.25">
      <c r="A137" s="18"/>
      <c r="B137" s="924"/>
      <c r="C137" s="6"/>
      <c r="D137" s="83" t="s">
        <v>172</v>
      </c>
      <c r="E137" s="30"/>
      <c r="F137" s="37"/>
      <c r="G137" s="4"/>
      <c r="H137" s="17"/>
      <c r="I137" s="395"/>
      <c r="J137" s="17"/>
    </row>
    <row r="138" spans="1:10" s="2" customFormat="1" ht="14.25" customHeight="1" x14ac:dyDescent="0.25">
      <c r="A138" s="972"/>
      <c r="B138" s="924"/>
      <c r="C138" s="6"/>
      <c r="D138" s="83" t="s">
        <v>173</v>
      </c>
      <c r="E138" s="30">
        <f>1+1</f>
        <v>2</v>
      </c>
      <c r="F138" s="37">
        <f>1500+1500</f>
        <v>3000</v>
      </c>
      <c r="G138" s="4"/>
      <c r="H138" s="17"/>
      <c r="I138" s="395"/>
      <c r="J138" s="17"/>
    </row>
    <row r="139" spans="1:10" s="2" customFormat="1" ht="14.25" customHeight="1" x14ac:dyDescent="0.25">
      <c r="A139" s="918"/>
      <c r="B139" s="924"/>
      <c r="C139" s="6"/>
      <c r="D139" s="83" t="s">
        <v>174</v>
      </c>
      <c r="E139" s="30">
        <f>1</f>
        <v>1</v>
      </c>
      <c r="F139" s="37">
        <f>1500</f>
        <v>1500</v>
      </c>
      <c r="G139" s="4"/>
      <c r="H139" s="17"/>
      <c r="I139" s="395">
        <f>1</f>
        <v>1</v>
      </c>
      <c r="J139" s="17">
        <f>1500</f>
        <v>1500</v>
      </c>
    </row>
    <row r="140" spans="1:10" s="2" customFormat="1" ht="14.25" customHeight="1" x14ac:dyDescent="0.25">
      <c r="A140" s="918"/>
      <c r="B140" s="924"/>
      <c r="C140" s="6"/>
      <c r="D140" s="83" t="s">
        <v>175</v>
      </c>
      <c r="E140" s="30"/>
      <c r="F140" s="37"/>
      <c r="G140" s="4"/>
      <c r="H140" s="17"/>
      <c r="I140" s="395"/>
      <c r="J140" s="17"/>
    </row>
    <row r="141" spans="1:10" s="2" customFormat="1" ht="14.25" customHeight="1" x14ac:dyDescent="0.25">
      <c r="A141" s="918"/>
      <c r="B141" s="924"/>
      <c r="C141" s="6"/>
      <c r="D141" s="83" t="s">
        <v>176</v>
      </c>
      <c r="E141" s="30"/>
      <c r="F141" s="37"/>
      <c r="G141" s="4"/>
      <c r="H141" s="17"/>
      <c r="I141" s="395">
        <f>2+1</f>
        <v>3</v>
      </c>
      <c r="J141" s="17">
        <f>3000+1750</f>
        <v>4750</v>
      </c>
    </row>
    <row r="142" spans="1:10" s="2" customFormat="1" ht="14.25" customHeight="1" x14ac:dyDescent="0.25">
      <c r="A142" s="918"/>
      <c r="B142" s="924"/>
      <c r="C142" s="6"/>
      <c r="D142" s="83" t="s">
        <v>177</v>
      </c>
      <c r="E142" s="30"/>
      <c r="F142" s="37"/>
      <c r="G142" s="4"/>
      <c r="H142" s="17"/>
      <c r="I142" s="395"/>
      <c r="J142" s="17"/>
    </row>
    <row r="143" spans="1:10" s="2" customFormat="1" ht="14.25" customHeight="1" x14ac:dyDescent="0.25">
      <c r="A143" s="918"/>
      <c r="B143" s="924"/>
      <c r="C143" s="6"/>
      <c r="D143" s="83" t="s">
        <v>178</v>
      </c>
      <c r="E143" s="30">
        <f>1+1</f>
        <v>2</v>
      </c>
      <c r="F143" s="37">
        <f>500+350</f>
        <v>850</v>
      </c>
      <c r="G143" s="4"/>
      <c r="H143" s="17"/>
      <c r="I143" s="395"/>
      <c r="J143" s="17"/>
    </row>
    <row r="144" spans="1:10" s="2" customFormat="1" ht="14.25" customHeight="1" x14ac:dyDescent="0.25">
      <c r="A144" s="918"/>
      <c r="B144" s="924"/>
      <c r="C144" s="6"/>
      <c r="D144" s="83" t="s">
        <v>179</v>
      </c>
      <c r="E144" s="30"/>
      <c r="F144" s="37"/>
      <c r="G144" s="4"/>
      <c r="H144" s="17"/>
      <c r="I144" s="395">
        <f>1</f>
        <v>1</v>
      </c>
      <c r="J144" s="17">
        <f>5000</f>
        <v>5000</v>
      </c>
    </row>
    <row r="145" spans="1:10" s="2" customFormat="1" ht="14.25" customHeight="1" x14ac:dyDescent="0.25">
      <c r="A145" s="918"/>
      <c r="B145" s="924"/>
      <c r="C145" s="6"/>
      <c r="D145" s="83" t="s">
        <v>180</v>
      </c>
      <c r="E145" s="30"/>
      <c r="F145" s="37"/>
      <c r="G145" s="4"/>
      <c r="H145" s="17"/>
      <c r="I145" s="395">
        <f>1</f>
        <v>1</v>
      </c>
      <c r="J145" s="17">
        <f>3000</f>
        <v>3000</v>
      </c>
    </row>
    <row r="146" spans="1:10" s="2" customFormat="1" ht="14.25" customHeight="1" x14ac:dyDescent="0.25">
      <c r="A146" s="918"/>
      <c r="B146" s="924"/>
      <c r="C146" s="6"/>
      <c r="D146" s="83" t="s">
        <v>181</v>
      </c>
      <c r="E146" s="30">
        <f>1</f>
        <v>1</v>
      </c>
      <c r="F146" s="37">
        <f>1000</f>
        <v>1000</v>
      </c>
      <c r="G146" s="4"/>
      <c r="H146" s="17"/>
      <c r="I146" s="395"/>
      <c r="J146" s="17"/>
    </row>
    <row r="147" spans="1:10" s="2" customFormat="1" ht="14.25" customHeight="1" x14ac:dyDescent="0.25">
      <c r="A147" s="77"/>
      <c r="B147" s="924"/>
      <c r="C147" s="6"/>
      <c r="D147" s="70" t="s">
        <v>80</v>
      </c>
      <c r="E147" s="70">
        <f t="shared" ref="E147:J147" si="26">SUM(E148:E151)</f>
        <v>11</v>
      </c>
      <c r="F147" s="84">
        <f t="shared" si="26"/>
        <v>17250</v>
      </c>
      <c r="G147" s="70">
        <f t="shared" si="26"/>
        <v>0</v>
      </c>
      <c r="H147" s="71">
        <f t="shared" si="26"/>
        <v>0</v>
      </c>
      <c r="I147" s="70">
        <f t="shared" si="26"/>
        <v>6</v>
      </c>
      <c r="J147" s="71">
        <f t="shared" si="26"/>
        <v>10200</v>
      </c>
    </row>
    <row r="148" spans="1:10" s="2" customFormat="1" ht="14.25" customHeight="1" x14ac:dyDescent="0.25">
      <c r="A148" s="77"/>
      <c r="B148" s="924"/>
      <c r="C148" s="6"/>
      <c r="D148" s="83" t="s">
        <v>182</v>
      </c>
      <c r="E148" s="30">
        <f>1</f>
        <v>1</v>
      </c>
      <c r="F148" s="37">
        <f>1000</f>
        <v>1000</v>
      </c>
      <c r="G148" s="4"/>
      <c r="H148" s="17"/>
      <c r="I148" s="395">
        <f>2</f>
        <v>2</v>
      </c>
      <c r="J148" s="17">
        <f>6500</f>
        <v>6500</v>
      </c>
    </row>
    <row r="149" spans="1:10" s="2" customFormat="1" ht="14.25" customHeight="1" x14ac:dyDescent="0.25">
      <c r="A149" s="77"/>
      <c r="B149" s="924"/>
      <c r="C149" s="6"/>
      <c r="D149" s="83" t="s">
        <v>183</v>
      </c>
      <c r="E149" s="30"/>
      <c r="F149" s="37"/>
      <c r="G149" s="4"/>
      <c r="H149" s="17"/>
      <c r="I149" s="395">
        <f>4</f>
        <v>4</v>
      </c>
      <c r="J149" s="17">
        <f>3700</f>
        <v>3700</v>
      </c>
    </row>
    <row r="150" spans="1:10" s="2" customFormat="1" ht="14.25" customHeight="1" x14ac:dyDescent="0.25">
      <c r="A150" s="77"/>
      <c r="B150" s="924"/>
      <c r="C150" s="6"/>
      <c r="D150" s="83" t="s">
        <v>184</v>
      </c>
      <c r="E150" s="30">
        <f>1+3+4+1+1</f>
        <v>10</v>
      </c>
      <c r="F150" s="37">
        <f>600+2650+8500+3000+1500</f>
        <v>16250</v>
      </c>
      <c r="G150" s="4"/>
      <c r="H150" s="17"/>
      <c r="I150" s="395"/>
      <c r="J150" s="17"/>
    </row>
    <row r="151" spans="1:10" s="2" customFormat="1" ht="14.25" customHeight="1" x14ac:dyDescent="0.25">
      <c r="A151" s="77"/>
      <c r="B151" s="924"/>
      <c r="C151" s="6"/>
      <c r="D151" s="83" t="s">
        <v>185</v>
      </c>
      <c r="E151" s="30"/>
      <c r="F151" s="37"/>
      <c r="G151" s="4"/>
      <c r="H151" s="17"/>
      <c r="I151" s="395"/>
      <c r="J151" s="17"/>
    </row>
    <row r="152" spans="1:10" s="2" customFormat="1" ht="16.5" customHeight="1" x14ac:dyDescent="0.25">
      <c r="A152" s="77"/>
      <c r="B152" s="924"/>
      <c r="C152" s="6"/>
      <c r="D152" s="70" t="s">
        <v>97</v>
      </c>
      <c r="E152" s="70">
        <f t="shared" ref="E152:J152" si="27">SUM(E153:E156)</f>
        <v>12</v>
      </c>
      <c r="F152" s="84">
        <f t="shared" si="27"/>
        <v>13436</v>
      </c>
      <c r="G152" s="70">
        <f t="shared" si="27"/>
        <v>0</v>
      </c>
      <c r="H152" s="71">
        <f t="shared" si="27"/>
        <v>0</v>
      </c>
      <c r="I152" s="70">
        <f t="shared" si="27"/>
        <v>5</v>
      </c>
      <c r="J152" s="71">
        <f t="shared" si="27"/>
        <v>8000</v>
      </c>
    </row>
    <row r="153" spans="1:10" s="2" customFormat="1" ht="14.25" customHeight="1" x14ac:dyDescent="0.25">
      <c r="A153" s="77"/>
      <c r="B153" s="924"/>
      <c r="C153" s="6"/>
      <c r="D153" s="83" t="s">
        <v>186</v>
      </c>
      <c r="E153" s="30">
        <f>3</f>
        <v>3</v>
      </c>
      <c r="F153" s="37">
        <f>1416</f>
        <v>1416</v>
      </c>
      <c r="G153" s="4"/>
      <c r="H153" s="17"/>
      <c r="I153" s="395">
        <f>1</f>
        <v>1</v>
      </c>
      <c r="J153" s="17">
        <f>2000</f>
        <v>2000</v>
      </c>
    </row>
    <row r="154" spans="1:10" s="2" customFormat="1" ht="14.25" customHeight="1" x14ac:dyDescent="0.25">
      <c r="A154" s="77"/>
      <c r="B154" s="924"/>
      <c r="C154" s="6"/>
      <c r="D154" s="83" t="s">
        <v>187</v>
      </c>
      <c r="E154" s="30"/>
      <c r="F154" s="37"/>
      <c r="G154" s="4"/>
      <c r="H154" s="17"/>
      <c r="I154" s="395">
        <f>1</f>
        <v>1</v>
      </c>
      <c r="J154" s="17">
        <f>1000</f>
        <v>1000</v>
      </c>
    </row>
    <row r="155" spans="1:10" s="2" customFormat="1" ht="14.25" customHeight="1" x14ac:dyDescent="0.25">
      <c r="A155" s="77"/>
      <c r="B155" s="924"/>
      <c r="C155" s="6"/>
      <c r="D155" s="83" t="s">
        <v>188</v>
      </c>
      <c r="E155" s="30">
        <f>3+1+1+1</f>
        <v>6</v>
      </c>
      <c r="F155" s="37">
        <f>2096+1000+300+1528</f>
        <v>4924</v>
      </c>
      <c r="G155" s="4"/>
      <c r="H155" s="17"/>
      <c r="I155" s="395"/>
      <c r="J155" s="17"/>
    </row>
    <row r="156" spans="1:10" s="2" customFormat="1" ht="14.25" customHeight="1" x14ac:dyDescent="0.25">
      <c r="A156" s="77"/>
      <c r="B156" s="924"/>
      <c r="C156" s="6"/>
      <c r="D156" s="83" t="s">
        <v>189</v>
      </c>
      <c r="E156" s="30">
        <f>1+1+1</f>
        <v>3</v>
      </c>
      <c r="F156" s="37">
        <f>1500+1596+4000</f>
        <v>7096</v>
      </c>
      <c r="G156" s="4"/>
      <c r="H156" s="17"/>
      <c r="I156" s="395">
        <f>3</f>
        <v>3</v>
      </c>
      <c r="J156" s="17">
        <f>5000</f>
        <v>5000</v>
      </c>
    </row>
    <row r="157" spans="1:10" s="8" customFormat="1" ht="6" customHeight="1" x14ac:dyDescent="0.25">
      <c r="A157" s="7"/>
      <c r="B157" s="7"/>
      <c r="C157" s="7"/>
      <c r="D157" s="7"/>
      <c r="E157" s="7"/>
      <c r="F157" s="93"/>
      <c r="G157" s="7"/>
      <c r="H157" s="7"/>
      <c r="I157" s="7"/>
      <c r="J157" s="7"/>
    </row>
    <row r="158" spans="1:10" s="9" customFormat="1" ht="18" customHeight="1" x14ac:dyDescent="0.25">
      <c r="A158" s="926" t="s">
        <v>23</v>
      </c>
      <c r="B158" s="831" t="s">
        <v>58</v>
      </c>
      <c r="C158" s="926" t="s">
        <v>24</v>
      </c>
      <c r="D158" s="155" t="s">
        <v>81</v>
      </c>
      <c r="E158" s="161">
        <f t="shared" ref="E158:J158" si="28">E159+E160+E171+E177</f>
        <v>21592</v>
      </c>
      <c r="F158" s="158">
        <f t="shared" si="28"/>
        <v>5914988.8499999996</v>
      </c>
      <c r="G158" s="161">
        <f t="shared" si="28"/>
        <v>0</v>
      </c>
      <c r="H158" s="158">
        <f t="shared" si="28"/>
        <v>0</v>
      </c>
      <c r="I158" s="161">
        <f t="shared" si="28"/>
        <v>0</v>
      </c>
      <c r="J158" s="158">
        <f t="shared" si="28"/>
        <v>0</v>
      </c>
    </row>
    <row r="159" spans="1:10" s="9" customFormat="1" ht="15.75" customHeight="1" x14ac:dyDescent="0.25">
      <c r="A159" s="927"/>
      <c r="B159" s="832"/>
      <c r="C159" s="927"/>
      <c r="D159" s="70" t="s">
        <v>203</v>
      </c>
      <c r="E159" s="119">
        <v>15</v>
      </c>
      <c r="F159" s="69">
        <v>3816</v>
      </c>
      <c r="G159" s="67"/>
      <c r="H159" s="67"/>
      <c r="I159" s="406"/>
      <c r="J159" s="406"/>
    </row>
    <row r="160" spans="1:10" s="3" customFormat="1" ht="16.5" customHeight="1" x14ac:dyDescent="0.25">
      <c r="A160" s="6"/>
      <c r="B160" s="832"/>
      <c r="C160" s="6"/>
      <c r="D160" s="70" t="s">
        <v>79</v>
      </c>
      <c r="E160" s="70">
        <f t="shared" ref="E160:J160" si="29">SUM(E161:E170)</f>
        <v>5160</v>
      </c>
      <c r="F160" s="84">
        <f t="shared" si="29"/>
        <v>1383286.17</v>
      </c>
      <c r="G160" s="70">
        <f t="shared" si="29"/>
        <v>0</v>
      </c>
      <c r="H160" s="71">
        <f t="shared" si="29"/>
        <v>0</v>
      </c>
      <c r="I160" s="70">
        <f t="shared" si="29"/>
        <v>0</v>
      </c>
      <c r="J160" s="71">
        <f t="shared" si="29"/>
        <v>0</v>
      </c>
    </row>
    <row r="161" spans="1:10" s="2" customFormat="1" ht="14.25" customHeight="1" x14ac:dyDescent="0.25">
      <c r="A161" s="18"/>
      <c r="B161" s="832"/>
      <c r="C161" s="6"/>
      <c r="D161" s="83" t="s">
        <v>172</v>
      </c>
      <c r="E161" s="30"/>
      <c r="F161" s="37"/>
      <c r="G161" s="4"/>
      <c r="H161" s="17"/>
      <c r="I161" s="395"/>
      <c r="J161" s="17"/>
    </row>
    <row r="162" spans="1:10" s="2" customFormat="1" ht="14.25" customHeight="1" x14ac:dyDescent="0.25">
      <c r="A162" s="972"/>
      <c r="B162" s="832"/>
      <c r="C162" s="6"/>
      <c r="D162" s="83" t="s">
        <v>173</v>
      </c>
      <c r="E162" s="30"/>
      <c r="F162" s="37"/>
      <c r="G162" s="4"/>
      <c r="H162" s="17"/>
      <c r="I162" s="395"/>
      <c r="J162" s="17"/>
    </row>
    <row r="163" spans="1:10" s="2" customFormat="1" ht="14.25" customHeight="1" x14ac:dyDescent="0.25">
      <c r="A163" s="918"/>
      <c r="B163" s="832"/>
      <c r="C163" s="6"/>
      <c r="D163" s="83" t="s">
        <v>174</v>
      </c>
      <c r="E163" s="30">
        <f>150</f>
        <v>150</v>
      </c>
      <c r="F163" s="37">
        <f>37500</f>
        <v>37500</v>
      </c>
      <c r="G163" s="4"/>
      <c r="H163" s="17"/>
      <c r="I163" s="395"/>
      <c r="J163" s="17"/>
    </row>
    <row r="164" spans="1:10" s="2" customFormat="1" ht="14.25" customHeight="1" x14ac:dyDescent="0.25">
      <c r="A164" s="918"/>
      <c r="B164" s="832"/>
      <c r="C164" s="6"/>
      <c r="D164" s="83" t="s">
        <v>175</v>
      </c>
      <c r="E164" s="30"/>
      <c r="F164" s="37"/>
      <c r="G164" s="4"/>
      <c r="H164" s="17"/>
      <c r="I164" s="395"/>
      <c r="J164" s="17"/>
    </row>
    <row r="165" spans="1:10" s="2" customFormat="1" ht="14.25" customHeight="1" x14ac:dyDescent="0.25">
      <c r="A165" s="918"/>
      <c r="B165" s="832"/>
      <c r="C165" s="6"/>
      <c r="D165" s="83" t="s">
        <v>176</v>
      </c>
      <c r="E165" s="30">
        <f>340+2700</f>
        <v>3040</v>
      </c>
      <c r="F165" s="37">
        <f>125768+807807.95</f>
        <v>933575.95</v>
      </c>
      <c r="G165" s="4"/>
      <c r="H165" s="17"/>
      <c r="I165" s="395"/>
      <c r="J165" s="17"/>
    </row>
    <row r="166" spans="1:10" s="2" customFormat="1" ht="14.25" customHeight="1" x14ac:dyDescent="0.25">
      <c r="A166" s="918"/>
      <c r="B166" s="832"/>
      <c r="C166" s="6"/>
      <c r="D166" s="83" t="s">
        <v>177</v>
      </c>
      <c r="E166" s="30"/>
      <c r="F166" s="37"/>
      <c r="G166" s="4"/>
      <c r="H166" s="17"/>
      <c r="I166" s="395"/>
      <c r="J166" s="17"/>
    </row>
    <row r="167" spans="1:10" s="2" customFormat="1" ht="14.25" customHeight="1" x14ac:dyDescent="0.25">
      <c r="A167" s="918"/>
      <c r="B167" s="832"/>
      <c r="C167" s="6"/>
      <c r="D167" s="83" t="s">
        <v>178</v>
      </c>
      <c r="E167" s="30"/>
      <c r="F167" s="37"/>
      <c r="G167" s="4"/>
      <c r="H167" s="17"/>
      <c r="I167" s="395"/>
      <c r="J167" s="17"/>
    </row>
    <row r="168" spans="1:10" s="2" customFormat="1" ht="14.25" customHeight="1" x14ac:dyDescent="0.25">
      <c r="A168" s="918"/>
      <c r="B168" s="832"/>
      <c r="C168" s="6"/>
      <c r="D168" s="83" t="s">
        <v>179</v>
      </c>
      <c r="E168" s="30"/>
      <c r="F168" s="37"/>
      <c r="G168" s="4"/>
      <c r="H168" s="17"/>
      <c r="I168" s="395"/>
      <c r="J168" s="17"/>
    </row>
    <row r="169" spans="1:10" s="2" customFormat="1" ht="14.25" customHeight="1" x14ac:dyDescent="0.25">
      <c r="A169" s="918"/>
      <c r="B169" s="832"/>
      <c r="C169" s="6"/>
      <c r="D169" s="83" t="s">
        <v>180</v>
      </c>
      <c r="E169" s="30"/>
      <c r="F169" s="37"/>
      <c r="G169" s="4"/>
      <c r="H169" s="17"/>
      <c r="I169" s="395"/>
      <c r="J169" s="17"/>
    </row>
    <row r="170" spans="1:10" s="2" customFormat="1" ht="14.25" customHeight="1" x14ac:dyDescent="0.25">
      <c r="A170" s="918"/>
      <c r="B170" s="832"/>
      <c r="C170" s="6"/>
      <c r="D170" s="83" t="s">
        <v>181</v>
      </c>
      <c r="E170" s="30">
        <f>1970</f>
        <v>1970</v>
      </c>
      <c r="F170" s="37">
        <f>412210.22</f>
        <v>412210.22</v>
      </c>
      <c r="G170" s="4"/>
      <c r="H170" s="17"/>
      <c r="I170" s="395"/>
      <c r="J170" s="17"/>
    </row>
    <row r="171" spans="1:10" s="2" customFormat="1" ht="16.5" customHeight="1" x14ac:dyDescent="0.25">
      <c r="A171" s="77"/>
      <c r="B171" s="832"/>
      <c r="C171" s="6"/>
      <c r="D171" s="70" t="s">
        <v>80</v>
      </c>
      <c r="E171" s="70">
        <f t="shared" ref="E171:J171" si="30">SUM(E172:E175)</f>
        <v>3100</v>
      </c>
      <c r="F171" s="84">
        <f t="shared" si="30"/>
        <v>935728</v>
      </c>
      <c r="G171" s="70">
        <f t="shared" si="30"/>
        <v>0</v>
      </c>
      <c r="H171" s="71">
        <f t="shared" si="30"/>
        <v>0</v>
      </c>
      <c r="I171" s="70">
        <f t="shared" si="30"/>
        <v>0</v>
      </c>
      <c r="J171" s="71">
        <f t="shared" si="30"/>
        <v>0</v>
      </c>
    </row>
    <row r="172" spans="1:10" s="2" customFormat="1" ht="14.25" customHeight="1" x14ac:dyDescent="0.25">
      <c r="A172" s="77"/>
      <c r="B172" s="832"/>
      <c r="C172" s="6"/>
      <c r="D172" s="83" t="s">
        <v>182</v>
      </c>
      <c r="E172" s="30">
        <v>200</v>
      </c>
      <c r="F172" s="37">
        <v>50000</v>
      </c>
      <c r="G172" s="4"/>
      <c r="H172" s="17"/>
      <c r="I172" s="395"/>
      <c r="J172" s="17"/>
    </row>
    <row r="173" spans="1:10" s="2" customFormat="1" ht="14.25" customHeight="1" x14ac:dyDescent="0.25">
      <c r="A173" s="77"/>
      <c r="B173" s="832"/>
      <c r="C173" s="6"/>
      <c r="D173" s="83" t="s">
        <v>183</v>
      </c>
      <c r="E173" s="30"/>
      <c r="F173" s="37"/>
      <c r="G173" s="4"/>
      <c r="H173" s="17"/>
      <c r="I173" s="395"/>
      <c r="J173" s="17"/>
    </row>
    <row r="174" spans="1:10" s="2" customFormat="1" ht="14.25" customHeight="1" x14ac:dyDescent="0.25">
      <c r="A174" s="77"/>
      <c r="B174" s="832"/>
      <c r="C174" s="6"/>
      <c r="D174" s="83" t="s">
        <v>184</v>
      </c>
      <c r="E174" s="30">
        <f>2400</f>
        <v>2400</v>
      </c>
      <c r="F174" s="37">
        <f>760728</f>
        <v>760728</v>
      </c>
      <c r="G174" s="4"/>
      <c r="H174" s="17"/>
      <c r="I174" s="395"/>
      <c r="J174" s="17"/>
    </row>
    <row r="175" spans="1:10" s="2" customFormat="1" ht="14.25" customHeight="1" x14ac:dyDescent="0.25">
      <c r="A175" s="77"/>
      <c r="B175" s="832"/>
      <c r="C175" s="6"/>
      <c r="D175" s="83" t="s">
        <v>185</v>
      </c>
      <c r="E175" s="30">
        <f>500</f>
        <v>500</v>
      </c>
      <c r="F175" s="37">
        <f>125000</f>
        <v>125000</v>
      </c>
      <c r="G175" s="4"/>
      <c r="H175" s="17"/>
      <c r="I175" s="395"/>
      <c r="J175" s="17"/>
    </row>
    <row r="176" spans="1:10" s="2" customFormat="1" ht="14.25" customHeight="1" x14ac:dyDescent="0.25">
      <c r="A176" s="104"/>
      <c r="B176" s="832"/>
      <c r="C176" s="6"/>
      <c r="D176" s="108" t="s">
        <v>220</v>
      </c>
      <c r="E176" s="79">
        <v>1000</v>
      </c>
      <c r="F176" s="81">
        <v>250000</v>
      </c>
      <c r="G176" s="110"/>
      <c r="H176" s="82"/>
      <c r="I176" s="409"/>
      <c r="J176" s="82"/>
    </row>
    <row r="177" spans="1:10" s="2" customFormat="1" ht="24" customHeight="1" x14ac:dyDescent="0.25">
      <c r="A177" s="77"/>
      <c r="B177" s="832"/>
      <c r="C177" s="6"/>
      <c r="D177" s="70" t="s">
        <v>97</v>
      </c>
      <c r="E177" s="70">
        <f t="shared" ref="E177:J177" si="31">SUM(E178:E181)</f>
        <v>13317</v>
      </c>
      <c r="F177" s="84">
        <f t="shared" si="31"/>
        <v>3592158.68</v>
      </c>
      <c r="G177" s="70">
        <f t="shared" si="31"/>
        <v>0</v>
      </c>
      <c r="H177" s="71">
        <f t="shared" si="31"/>
        <v>0</v>
      </c>
      <c r="I177" s="70">
        <f t="shared" si="31"/>
        <v>0</v>
      </c>
      <c r="J177" s="71">
        <f t="shared" si="31"/>
        <v>0</v>
      </c>
    </row>
    <row r="178" spans="1:10" s="2" customFormat="1" ht="14.25" customHeight="1" x14ac:dyDescent="0.25">
      <c r="A178" s="77"/>
      <c r="B178" s="832"/>
      <c r="C178" s="6"/>
      <c r="D178" s="83" t="s">
        <v>186</v>
      </c>
      <c r="E178" s="30">
        <v>363</v>
      </c>
      <c r="F178" s="37">
        <v>117000.24</v>
      </c>
      <c r="G178" s="4"/>
      <c r="H178" s="17"/>
      <c r="I178" s="395"/>
      <c r="J178" s="17"/>
    </row>
    <row r="179" spans="1:10" s="2" customFormat="1" ht="14.25" customHeight="1" x14ac:dyDescent="0.25">
      <c r="A179" s="77"/>
      <c r="B179" s="832"/>
      <c r="C179" s="6"/>
      <c r="D179" s="83" t="s">
        <v>187</v>
      </c>
      <c r="E179" s="30">
        <v>3100</v>
      </c>
      <c r="F179" s="37">
        <v>845406.92</v>
      </c>
      <c r="G179" s="4"/>
      <c r="H179" s="17"/>
      <c r="I179" s="395"/>
      <c r="J179" s="17"/>
    </row>
    <row r="180" spans="1:10" s="2" customFormat="1" ht="14.25" customHeight="1" x14ac:dyDescent="0.25">
      <c r="A180" s="77"/>
      <c r="B180" s="832"/>
      <c r="C180" s="6"/>
      <c r="D180" s="83" t="s">
        <v>188</v>
      </c>
      <c r="E180" s="30">
        <v>8204</v>
      </c>
      <c r="F180" s="37">
        <v>2076156.48</v>
      </c>
      <c r="G180" s="4"/>
      <c r="H180" s="17"/>
      <c r="I180" s="395"/>
      <c r="J180" s="17"/>
    </row>
    <row r="181" spans="1:10" s="2" customFormat="1" ht="14.25" customHeight="1" x14ac:dyDescent="0.25">
      <c r="A181" s="77"/>
      <c r="B181" s="832"/>
      <c r="C181" s="6"/>
      <c r="D181" s="83" t="s">
        <v>189</v>
      </c>
      <c r="E181" s="30">
        <v>1650</v>
      </c>
      <c r="F181" s="37">
        <v>553595.04</v>
      </c>
      <c r="G181" s="4"/>
      <c r="H181" s="17"/>
      <c r="I181" s="395"/>
      <c r="J181" s="17"/>
    </row>
    <row r="182" spans="1:10" s="8" customFormat="1" ht="6" customHeight="1" x14ac:dyDescent="0.25">
      <c r="A182" s="7"/>
      <c r="B182" s="7"/>
      <c r="C182" s="7"/>
      <c r="D182" s="7"/>
      <c r="E182" s="7"/>
      <c r="F182" s="93"/>
      <c r="G182" s="7"/>
      <c r="H182" s="7"/>
      <c r="I182" s="7"/>
      <c r="J182" s="7"/>
    </row>
    <row r="183" spans="1:10" s="9" customFormat="1" ht="30" customHeight="1" x14ac:dyDescent="0.25">
      <c r="A183" s="54" t="s">
        <v>63</v>
      </c>
      <c r="B183" s="831" t="s">
        <v>64</v>
      </c>
      <c r="C183" s="6" t="s">
        <v>65</v>
      </c>
      <c r="D183" s="155" t="s">
        <v>81</v>
      </c>
      <c r="E183" s="161">
        <f t="shared" ref="E183:J183" si="32">E184+E195+E200</f>
        <v>0</v>
      </c>
      <c r="F183" s="158">
        <f t="shared" si="32"/>
        <v>0</v>
      </c>
      <c r="G183" s="161">
        <f t="shared" si="32"/>
        <v>0</v>
      </c>
      <c r="H183" s="158">
        <f t="shared" si="32"/>
        <v>0</v>
      </c>
      <c r="I183" s="161">
        <f t="shared" si="32"/>
        <v>644</v>
      </c>
      <c r="J183" s="158">
        <f t="shared" si="32"/>
        <v>6440000</v>
      </c>
    </row>
    <row r="184" spans="1:10" s="3" customFormat="1" ht="27.75" customHeight="1" x14ac:dyDescent="0.25">
      <c r="A184" s="6"/>
      <c r="B184" s="879"/>
      <c r="C184" s="6"/>
      <c r="D184" s="70" t="s">
        <v>79</v>
      </c>
      <c r="E184" s="70">
        <f t="shared" ref="E184:J184" si="33">SUM(E185:E194)</f>
        <v>0</v>
      </c>
      <c r="F184" s="84">
        <f t="shared" si="33"/>
        <v>0</v>
      </c>
      <c r="G184" s="70">
        <f t="shared" si="33"/>
        <v>0</v>
      </c>
      <c r="H184" s="71">
        <f t="shared" si="33"/>
        <v>0</v>
      </c>
      <c r="I184" s="70">
        <f t="shared" si="33"/>
        <v>80</v>
      </c>
      <c r="J184" s="71">
        <f t="shared" si="33"/>
        <v>800000</v>
      </c>
    </row>
    <row r="185" spans="1:10" s="2" customFormat="1" ht="14.25" customHeight="1" x14ac:dyDescent="0.25">
      <c r="A185" s="18"/>
      <c r="B185" s="879"/>
      <c r="C185" s="6"/>
      <c r="D185" s="83" t="s">
        <v>172</v>
      </c>
      <c r="E185" s="30"/>
      <c r="F185" s="37"/>
      <c r="G185" s="4"/>
      <c r="H185" s="17"/>
      <c r="I185" s="395"/>
      <c r="J185" s="17"/>
    </row>
    <row r="186" spans="1:10" s="2" customFormat="1" ht="14.25" customHeight="1" x14ac:dyDescent="0.25">
      <c r="A186" s="972"/>
      <c r="B186" s="879"/>
      <c r="C186" s="6"/>
      <c r="D186" s="83" t="s">
        <v>173</v>
      </c>
      <c r="E186" s="30"/>
      <c r="F186" s="37"/>
      <c r="G186" s="4"/>
      <c r="H186" s="17"/>
      <c r="I186" s="395"/>
      <c r="J186" s="17"/>
    </row>
    <row r="187" spans="1:10" s="2" customFormat="1" ht="14.25" customHeight="1" x14ac:dyDescent="0.25">
      <c r="A187" s="918"/>
      <c r="B187" s="879"/>
      <c r="C187" s="6"/>
      <c r="D187" s="83" t="s">
        <v>174</v>
      </c>
      <c r="E187" s="30"/>
      <c r="F187" s="37"/>
      <c r="G187" s="4"/>
      <c r="H187" s="17"/>
      <c r="I187" s="395"/>
      <c r="J187" s="17"/>
    </row>
    <row r="188" spans="1:10" s="2" customFormat="1" ht="14.25" customHeight="1" x14ac:dyDescent="0.25">
      <c r="A188" s="918"/>
      <c r="B188" s="879"/>
      <c r="C188" s="6"/>
      <c r="D188" s="83" t="s">
        <v>175</v>
      </c>
      <c r="E188" s="30"/>
      <c r="F188" s="37"/>
      <c r="G188" s="4"/>
      <c r="H188" s="17"/>
      <c r="I188" s="395"/>
      <c r="J188" s="17"/>
    </row>
    <row r="189" spans="1:10" s="2" customFormat="1" ht="14.25" customHeight="1" x14ac:dyDescent="0.25">
      <c r="A189" s="918"/>
      <c r="B189" s="879"/>
      <c r="C189" s="6"/>
      <c r="D189" s="83" t="s">
        <v>176</v>
      </c>
      <c r="E189" s="30"/>
      <c r="F189" s="37"/>
      <c r="G189" s="4"/>
      <c r="H189" s="17"/>
      <c r="I189" s="395"/>
      <c r="J189" s="17"/>
    </row>
    <row r="190" spans="1:10" s="2" customFormat="1" ht="14.25" customHeight="1" x14ac:dyDescent="0.25">
      <c r="A190" s="918"/>
      <c r="B190" s="879"/>
      <c r="C190" s="6"/>
      <c r="D190" s="83" t="s">
        <v>177</v>
      </c>
      <c r="E190" s="30"/>
      <c r="F190" s="37"/>
      <c r="G190" s="4"/>
      <c r="H190" s="17"/>
      <c r="I190" s="395"/>
      <c r="J190" s="17"/>
    </row>
    <row r="191" spans="1:10" s="2" customFormat="1" ht="14.25" customHeight="1" x14ac:dyDescent="0.25">
      <c r="A191" s="918"/>
      <c r="B191" s="879"/>
      <c r="C191" s="6"/>
      <c r="D191" s="83" t="s">
        <v>178</v>
      </c>
      <c r="E191" s="30"/>
      <c r="F191" s="37"/>
      <c r="G191" s="4"/>
      <c r="H191" s="17"/>
      <c r="I191" s="395"/>
      <c r="J191" s="17"/>
    </row>
    <row r="192" spans="1:10" s="2" customFormat="1" ht="14.25" customHeight="1" x14ac:dyDescent="0.25">
      <c r="A192" s="918"/>
      <c r="B192" s="879"/>
      <c r="C192" s="6"/>
      <c r="D192" s="83" t="s">
        <v>179</v>
      </c>
      <c r="E192" s="30"/>
      <c r="F192" s="37"/>
      <c r="G192" s="4"/>
      <c r="H192" s="17"/>
      <c r="I192" s="395"/>
      <c r="J192" s="17"/>
    </row>
    <row r="193" spans="1:10" s="2" customFormat="1" ht="14.25" customHeight="1" x14ac:dyDescent="0.25">
      <c r="A193" s="918"/>
      <c r="B193" s="879"/>
      <c r="C193" s="6"/>
      <c r="D193" s="83" t="s">
        <v>180</v>
      </c>
      <c r="E193" s="30"/>
      <c r="F193" s="37"/>
      <c r="G193" s="4"/>
      <c r="H193" s="17"/>
      <c r="I193" s="395"/>
      <c r="J193" s="17"/>
    </row>
    <row r="194" spans="1:10" s="2" customFormat="1" ht="14.25" customHeight="1" x14ac:dyDescent="0.25">
      <c r="A194" s="918"/>
      <c r="B194" s="879"/>
      <c r="C194" s="6"/>
      <c r="D194" s="83" t="s">
        <v>181</v>
      </c>
      <c r="E194" s="30"/>
      <c r="F194" s="37"/>
      <c r="G194" s="4"/>
      <c r="H194" s="17"/>
      <c r="I194" s="395">
        <f>80</f>
        <v>80</v>
      </c>
      <c r="J194" s="17">
        <f>800000</f>
        <v>800000</v>
      </c>
    </row>
    <row r="195" spans="1:10" s="2" customFormat="1" ht="24" customHeight="1" x14ac:dyDescent="0.25">
      <c r="A195" s="77"/>
      <c r="B195" s="879"/>
      <c r="C195" s="6"/>
      <c r="D195" s="70" t="s">
        <v>80</v>
      </c>
      <c r="E195" s="70">
        <f t="shared" ref="E195:J195" si="34">SUM(E196:E199)</f>
        <v>0</v>
      </c>
      <c r="F195" s="84">
        <f t="shared" si="34"/>
        <v>0</v>
      </c>
      <c r="G195" s="70">
        <f t="shared" si="34"/>
        <v>0</v>
      </c>
      <c r="H195" s="71">
        <f t="shared" si="34"/>
        <v>0</v>
      </c>
      <c r="I195" s="70">
        <f t="shared" si="34"/>
        <v>0</v>
      </c>
      <c r="J195" s="71">
        <f t="shared" si="34"/>
        <v>0</v>
      </c>
    </row>
    <row r="196" spans="1:10" s="2" customFormat="1" ht="14.25" customHeight="1" x14ac:dyDescent="0.25">
      <c r="A196" s="77"/>
      <c r="B196" s="879"/>
      <c r="C196" s="6"/>
      <c r="D196" s="83" t="s">
        <v>182</v>
      </c>
      <c r="E196" s="30"/>
      <c r="F196" s="37"/>
      <c r="G196" s="4"/>
      <c r="H196" s="17"/>
      <c r="I196" s="395"/>
      <c r="J196" s="17"/>
    </row>
    <row r="197" spans="1:10" s="2" customFormat="1" ht="14.25" customHeight="1" x14ac:dyDescent="0.25">
      <c r="A197" s="77"/>
      <c r="B197" s="879"/>
      <c r="C197" s="6"/>
      <c r="D197" s="83" t="s">
        <v>183</v>
      </c>
      <c r="E197" s="30"/>
      <c r="F197" s="37"/>
      <c r="G197" s="4"/>
      <c r="H197" s="17"/>
      <c r="I197" s="395"/>
      <c r="J197" s="17"/>
    </row>
    <row r="198" spans="1:10" s="2" customFormat="1" ht="14.25" customHeight="1" x14ac:dyDescent="0.25">
      <c r="A198" s="77"/>
      <c r="B198" s="879"/>
      <c r="C198" s="6"/>
      <c r="D198" s="83" t="s">
        <v>184</v>
      </c>
      <c r="E198" s="30"/>
      <c r="F198" s="37"/>
      <c r="G198" s="4"/>
      <c r="H198" s="17"/>
      <c r="I198" s="395"/>
      <c r="J198" s="17"/>
    </row>
    <row r="199" spans="1:10" s="2" customFormat="1" ht="14.25" customHeight="1" x14ac:dyDescent="0.25">
      <c r="A199" s="77"/>
      <c r="B199" s="879"/>
      <c r="C199" s="6"/>
      <c r="D199" s="83" t="s">
        <v>185</v>
      </c>
      <c r="E199" s="30"/>
      <c r="F199" s="37"/>
      <c r="G199" s="4"/>
      <c r="H199" s="17"/>
      <c r="I199" s="395"/>
      <c r="J199" s="17"/>
    </row>
    <row r="200" spans="1:10" s="2" customFormat="1" ht="24" customHeight="1" x14ac:dyDescent="0.25">
      <c r="A200" s="77"/>
      <c r="B200" s="879"/>
      <c r="C200" s="6"/>
      <c r="D200" s="70" t="s">
        <v>97</v>
      </c>
      <c r="E200" s="70">
        <f t="shared" ref="E200:J200" si="35">SUM(E201:E204)</f>
        <v>0</v>
      </c>
      <c r="F200" s="84">
        <f t="shared" si="35"/>
        <v>0</v>
      </c>
      <c r="G200" s="70">
        <f t="shared" si="35"/>
        <v>0</v>
      </c>
      <c r="H200" s="71">
        <f t="shared" si="35"/>
        <v>0</v>
      </c>
      <c r="I200" s="70">
        <f t="shared" si="35"/>
        <v>564</v>
      </c>
      <c r="J200" s="71">
        <f t="shared" si="35"/>
        <v>5640000</v>
      </c>
    </row>
    <row r="201" spans="1:10" s="2" customFormat="1" ht="14.25" customHeight="1" x14ac:dyDescent="0.25">
      <c r="A201" s="77"/>
      <c r="B201" s="879"/>
      <c r="C201" s="6"/>
      <c r="D201" s="83" t="s">
        <v>186</v>
      </c>
      <c r="E201" s="30"/>
      <c r="F201" s="37"/>
      <c r="G201" s="4"/>
      <c r="H201" s="17"/>
      <c r="I201" s="395"/>
      <c r="J201" s="17"/>
    </row>
    <row r="202" spans="1:10" s="2" customFormat="1" ht="14.25" customHeight="1" x14ac:dyDescent="0.25">
      <c r="A202" s="77"/>
      <c r="B202" s="879"/>
      <c r="C202" s="6"/>
      <c r="D202" s="83" t="s">
        <v>187</v>
      </c>
      <c r="E202" s="30"/>
      <c r="F202" s="37"/>
      <c r="G202" s="4"/>
      <c r="H202" s="17"/>
      <c r="I202" s="395"/>
      <c r="J202" s="17"/>
    </row>
    <row r="203" spans="1:10" s="2" customFormat="1" ht="14.25" customHeight="1" x14ac:dyDescent="0.25">
      <c r="A203" s="77"/>
      <c r="B203" s="879"/>
      <c r="C203" s="6"/>
      <c r="D203" s="83" t="s">
        <v>188</v>
      </c>
      <c r="E203" s="30"/>
      <c r="F203" s="37"/>
      <c r="G203" s="4"/>
      <c r="H203" s="17"/>
      <c r="I203" s="395"/>
      <c r="J203" s="17"/>
    </row>
    <row r="204" spans="1:10" s="2" customFormat="1" ht="14.25" customHeight="1" x14ac:dyDescent="0.25">
      <c r="A204" s="77"/>
      <c r="B204" s="879"/>
      <c r="C204" s="6"/>
      <c r="D204" s="83" t="s">
        <v>189</v>
      </c>
      <c r="E204" s="30"/>
      <c r="F204" s="37"/>
      <c r="G204" s="4"/>
      <c r="H204" s="17"/>
      <c r="I204" s="395">
        <f>564</f>
        <v>564</v>
      </c>
      <c r="J204" s="17">
        <f>5640000</f>
        <v>5640000</v>
      </c>
    </row>
    <row r="205" spans="1:10" s="8" customFormat="1" ht="6" customHeight="1" x14ac:dyDescent="0.25">
      <c r="A205" s="7"/>
      <c r="B205" s="7"/>
      <c r="C205" s="7"/>
      <c r="D205" s="7"/>
      <c r="E205" s="7"/>
      <c r="F205" s="93"/>
      <c r="G205" s="7"/>
      <c r="H205" s="7"/>
      <c r="I205" s="7"/>
      <c r="J205" s="7"/>
    </row>
    <row r="206" spans="1:10" s="9" customFormat="1" ht="30" customHeight="1" x14ac:dyDescent="0.25">
      <c r="A206" s="54" t="s">
        <v>67</v>
      </c>
      <c r="B206" s="831" t="s">
        <v>68</v>
      </c>
      <c r="C206" s="6" t="s">
        <v>65</v>
      </c>
      <c r="D206" s="155" t="s">
        <v>81</v>
      </c>
      <c r="E206" s="161">
        <f t="shared" ref="E206:J206" si="36">E207+E218+E223</f>
        <v>3803</v>
      </c>
      <c r="F206" s="158">
        <f t="shared" si="36"/>
        <v>3794073.52</v>
      </c>
      <c r="G206" s="161">
        <f t="shared" si="36"/>
        <v>0</v>
      </c>
      <c r="H206" s="158">
        <f t="shared" si="36"/>
        <v>0</v>
      </c>
      <c r="I206" s="161">
        <f t="shared" si="36"/>
        <v>0</v>
      </c>
      <c r="J206" s="158">
        <f t="shared" si="36"/>
        <v>0</v>
      </c>
    </row>
    <row r="207" spans="1:10" s="3" customFormat="1" ht="27.75" customHeight="1" x14ac:dyDescent="0.25">
      <c r="A207" s="6"/>
      <c r="B207" s="832"/>
      <c r="C207" s="6"/>
      <c r="D207" s="70" t="s">
        <v>79</v>
      </c>
      <c r="E207" s="70">
        <f t="shared" ref="E207:J207" si="37">SUM(E208:E217)</f>
        <v>2792</v>
      </c>
      <c r="F207" s="84">
        <f t="shared" si="37"/>
        <v>2564433.52</v>
      </c>
      <c r="G207" s="70">
        <f t="shared" si="37"/>
        <v>0</v>
      </c>
      <c r="H207" s="71">
        <f t="shared" si="37"/>
        <v>0</v>
      </c>
      <c r="I207" s="70">
        <f t="shared" si="37"/>
        <v>0</v>
      </c>
      <c r="J207" s="71">
        <f t="shared" si="37"/>
        <v>0</v>
      </c>
    </row>
    <row r="208" spans="1:10" s="2" customFormat="1" ht="14.25" customHeight="1" x14ac:dyDescent="0.25">
      <c r="A208" s="18"/>
      <c r="B208" s="832"/>
      <c r="C208" s="6"/>
      <c r="D208" s="83" t="s">
        <v>172</v>
      </c>
      <c r="E208" s="30">
        <f>605+235</f>
        <v>840</v>
      </c>
      <c r="F208" s="37">
        <f>149737.5+58162.5</f>
        <v>207900</v>
      </c>
      <c r="G208" s="4"/>
      <c r="H208" s="17"/>
      <c r="I208" s="395"/>
      <c r="J208" s="17"/>
    </row>
    <row r="209" spans="1:10" s="2" customFormat="1" ht="14.25" customHeight="1" x14ac:dyDescent="0.25">
      <c r="A209" s="972"/>
      <c r="B209" s="832"/>
      <c r="C209" s="6"/>
      <c r="D209" s="83" t="s">
        <v>173</v>
      </c>
      <c r="E209" s="30">
        <f>700+128</f>
        <v>828</v>
      </c>
      <c r="F209" s="37">
        <f>1736000+317440</f>
        <v>2053440</v>
      </c>
      <c r="G209" s="4"/>
      <c r="H209" s="17"/>
      <c r="I209" s="395"/>
      <c r="J209" s="17"/>
    </row>
    <row r="210" spans="1:10" s="2" customFormat="1" ht="14.25" customHeight="1" x14ac:dyDescent="0.25">
      <c r="A210" s="918"/>
      <c r="B210" s="832"/>
      <c r="C210" s="6"/>
      <c r="D210" s="83" t="s">
        <v>174</v>
      </c>
      <c r="E210" s="30">
        <f>500</f>
        <v>500</v>
      </c>
      <c r="F210" s="37">
        <f>147403.52</f>
        <v>147403.51999999999</v>
      </c>
      <c r="G210" s="4"/>
      <c r="H210" s="17"/>
      <c r="I210" s="395"/>
      <c r="J210" s="17"/>
    </row>
    <row r="211" spans="1:10" s="2" customFormat="1" ht="14.25" customHeight="1" x14ac:dyDescent="0.25">
      <c r="A211" s="918"/>
      <c r="B211" s="832"/>
      <c r="C211" s="6"/>
      <c r="D211" s="83" t="s">
        <v>175</v>
      </c>
      <c r="E211" s="30"/>
      <c r="F211" s="37"/>
      <c r="G211" s="4"/>
      <c r="H211" s="17"/>
      <c r="I211" s="395"/>
      <c r="J211" s="17"/>
    </row>
    <row r="212" spans="1:10" s="2" customFormat="1" ht="14.25" customHeight="1" x14ac:dyDescent="0.25">
      <c r="A212" s="918"/>
      <c r="B212" s="832"/>
      <c r="C212" s="6"/>
      <c r="D212" s="83" t="s">
        <v>176</v>
      </c>
      <c r="E212" s="30"/>
      <c r="F212" s="37"/>
      <c r="G212" s="4"/>
      <c r="H212" s="17"/>
      <c r="I212" s="395"/>
      <c r="J212" s="17"/>
    </row>
    <row r="213" spans="1:10" s="2" customFormat="1" ht="14.25" customHeight="1" x14ac:dyDescent="0.25">
      <c r="A213" s="918"/>
      <c r="B213" s="832"/>
      <c r="C213" s="6"/>
      <c r="D213" s="83" t="s">
        <v>177</v>
      </c>
      <c r="E213" s="30"/>
      <c r="F213" s="37"/>
      <c r="G213" s="4"/>
      <c r="H213" s="17"/>
      <c r="I213" s="395"/>
      <c r="J213" s="17"/>
    </row>
    <row r="214" spans="1:10" s="2" customFormat="1" ht="14.25" customHeight="1" x14ac:dyDescent="0.25">
      <c r="A214" s="918"/>
      <c r="B214" s="832"/>
      <c r="C214" s="6"/>
      <c r="D214" s="83" t="s">
        <v>178</v>
      </c>
      <c r="E214" s="30"/>
      <c r="F214" s="37"/>
      <c r="G214" s="4"/>
      <c r="H214" s="17"/>
      <c r="I214" s="395"/>
      <c r="J214" s="17"/>
    </row>
    <row r="215" spans="1:10" s="2" customFormat="1" ht="14.25" customHeight="1" x14ac:dyDescent="0.25">
      <c r="A215" s="918"/>
      <c r="B215" s="107"/>
      <c r="C215" s="6"/>
      <c r="D215" s="83" t="s">
        <v>179</v>
      </c>
      <c r="E215" s="30"/>
      <c r="F215" s="37"/>
      <c r="G215" s="4"/>
      <c r="H215" s="17"/>
      <c r="I215" s="395"/>
      <c r="J215" s="17"/>
    </row>
    <row r="216" spans="1:10" s="2" customFormat="1" ht="14.25" customHeight="1" x14ac:dyDescent="0.25">
      <c r="A216" s="918"/>
      <c r="B216" s="107"/>
      <c r="C216" s="6"/>
      <c r="D216" s="83" t="s">
        <v>180</v>
      </c>
      <c r="E216" s="30">
        <f>124+500</f>
        <v>624</v>
      </c>
      <c r="F216" s="37">
        <f>30690+125000</f>
        <v>155690</v>
      </c>
      <c r="G216" s="4"/>
      <c r="H216" s="17"/>
      <c r="I216" s="395"/>
      <c r="J216" s="17"/>
    </row>
    <row r="217" spans="1:10" s="2" customFormat="1" ht="14.25" customHeight="1" x14ac:dyDescent="0.25">
      <c r="A217" s="918"/>
      <c r="B217" s="107"/>
      <c r="C217" s="6"/>
      <c r="D217" s="83" t="s">
        <v>181</v>
      </c>
      <c r="E217" s="30"/>
      <c r="F217" s="37"/>
      <c r="G217" s="4"/>
      <c r="H217" s="17"/>
      <c r="I217" s="395"/>
      <c r="J217" s="17"/>
    </row>
    <row r="218" spans="1:10" s="2" customFormat="1" ht="24" customHeight="1" x14ac:dyDescent="0.25">
      <c r="A218" s="104"/>
      <c r="B218" s="107"/>
      <c r="C218" s="6"/>
      <c r="D218" s="70" t="s">
        <v>80</v>
      </c>
      <c r="E218" s="70">
        <f t="shared" ref="E218:J218" si="38">SUM(E219:E222)</f>
        <v>400</v>
      </c>
      <c r="F218" s="84">
        <f t="shared" si="38"/>
        <v>100000</v>
      </c>
      <c r="G218" s="70">
        <f t="shared" si="38"/>
        <v>0</v>
      </c>
      <c r="H218" s="71">
        <f t="shared" si="38"/>
        <v>0</v>
      </c>
      <c r="I218" s="70">
        <f t="shared" si="38"/>
        <v>0</v>
      </c>
      <c r="J218" s="71">
        <f t="shared" si="38"/>
        <v>0</v>
      </c>
    </row>
    <row r="219" spans="1:10" s="2" customFormat="1" ht="14.25" customHeight="1" x14ac:dyDescent="0.25">
      <c r="A219" s="104"/>
      <c r="B219" s="107"/>
      <c r="C219" s="6"/>
      <c r="D219" s="83" t="s">
        <v>182</v>
      </c>
      <c r="E219" s="30">
        <f>400</f>
        <v>400</v>
      </c>
      <c r="F219" s="37">
        <f>100000</f>
        <v>100000</v>
      </c>
      <c r="G219" s="4"/>
      <c r="H219" s="17"/>
      <c r="I219" s="395"/>
      <c r="J219" s="17"/>
    </row>
    <row r="220" spans="1:10" s="2" customFormat="1" ht="14.25" customHeight="1" x14ac:dyDescent="0.25">
      <c r="A220" s="104"/>
      <c r="B220" s="107"/>
      <c r="C220" s="6"/>
      <c r="D220" s="83" t="s">
        <v>183</v>
      </c>
      <c r="E220" s="30"/>
      <c r="F220" s="37"/>
      <c r="G220" s="4"/>
      <c r="H220" s="17"/>
      <c r="I220" s="395"/>
      <c r="J220" s="17"/>
    </row>
    <row r="221" spans="1:10" s="2" customFormat="1" ht="14.25" customHeight="1" x14ac:dyDescent="0.25">
      <c r="A221" s="104"/>
      <c r="B221" s="107"/>
      <c r="C221" s="6"/>
      <c r="D221" s="83" t="s">
        <v>184</v>
      </c>
      <c r="E221" s="30"/>
      <c r="F221" s="37"/>
      <c r="G221" s="4"/>
      <c r="H221" s="17"/>
      <c r="I221" s="395"/>
      <c r="J221" s="17"/>
    </row>
    <row r="222" spans="1:10" s="2" customFormat="1" ht="14.25" customHeight="1" x14ac:dyDescent="0.25">
      <c r="A222" s="104"/>
      <c r="B222" s="107"/>
      <c r="C222" s="6"/>
      <c r="D222" s="83" t="s">
        <v>185</v>
      </c>
      <c r="E222" s="30"/>
      <c r="F222" s="37"/>
      <c r="G222" s="4"/>
      <c r="H222" s="17"/>
      <c r="I222" s="395"/>
      <c r="J222" s="17"/>
    </row>
    <row r="223" spans="1:10" s="2" customFormat="1" ht="24" customHeight="1" x14ac:dyDescent="0.25">
      <c r="A223" s="104"/>
      <c r="B223" s="107"/>
      <c r="C223" s="6"/>
      <c r="D223" s="70" t="s">
        <v>97</v>
      </c>
      <c r="E223" s="70">
        <f t="shared" ref="E223:J223" si="39">SUM(E224:E227)</f>
        <v>611</v>
      </c>
      <c r="F223" s="84">
        <f t="shared" si="39"/>
        <v>1129640</v>
      </c>
      <c r="G223" s="70">
        <f t="shared" si="39"/>
        <v>0</v>
      </c>
      <c r="H223" s="71">
        <f t="shared" si="39"/>
        <v>0</v>
      </c>
      <c r="I223" s="70">
        <f t="shared" si="39"/>
        <v>0</v>
      </c>
      <c r="J223" s="71">
        <f t="shared" si="39"/>
        <v>0</v>
      </c>
    </row>
    <row r="224" spans="1:10" s="2" customFormat="1" ht="14.25" customHeight="1" x14ac:dyDescent="0.25">
      <c r="A224" s="104"/>
      <c r="B224" s="107"/>
      <c r="C224" s="6"/>
      <c r="D224" s="83" t="s">
        <v>186</v>
      </c>
      <c r="E224" s="30"/>
      <c r="F224" s="37"/>
      <c r="G224" s="4"/>
      <c r="H224" s="17"/>
      <c r="I224" s="395"/>
      <c r="J224" s="17"/>
    </row>
    <row r="225" spans="1:10" s="2" customFormat="1" ht="14.25" customHeight="1" x14ac:dyDescent="0.25">
      <c r="A225" s="104"/>
      <c r="B225" s="107"/>
      <c r="C225" s="6"/>
      <c r="D225" s="83" t="s">
        <v>187</v>
      </c>
      <c r="E225" s="30"/>
      <c r="F225" s="37"/>
      <c r="G225" s="4"/>
      <c r="H225" s="17"/>
      <c r="I225" s="395"/>
      <c r="J225" s="17"/>
    </row>
    <row r="226" spans="1:10" s="2" customFormat="1" ht="14.25" customHeight="1" x14ac:dyDescent="0.25">
      <c r="A226" s="104"/>
      <c r="B226" s="107"/>
      <c r="C226" s="6"/>
      <c r="D226" s="83" t="s">
        <v>188</v>
      </c>
      <c r="E226" s="30"/>
      <c r="F226" s="37"/>
      <c r="G226" s="4"/>
      <c r="H226" s="17"/>
      <c r="I226" s="395"/>
      <c r="J226" s="17"/>
    </row>
    <row r="227" spans="1:10" s="2" customFormat="1" ht="14.25" customHeight="1" x14ac:dyDescent="0.25">
      <c r="A227" s="104"/>
      <c r="B227" s="107"/>
      <c r="C227" s="6"/>
      <c r="D227" s="83" t="s">
        <v>189</v>
      </c>
      <c r="E227" s="30">
        <f>300+311</f>
        <v>611</v>
      </c>
      <c r="F227" s="37">
        <f>744000+385640</f>
        <v>1129640</v>
      </c>
      <c r="G227" s="4"/>
      <c r="H227" s="17"/>
      <c r="I227" s="395"/>
      <c r="J227" s="17"/>
    </row>
    <row r="228" spans="1:10" s="8" customFormat="1" ht="8.25" customHeight="1" x14ac:dyDescent="0.25">
      <c r="A228" s="7"/>
      <c r="B228" s="7"/>
      <c r="C228" s="7"/>
      <c r="D228" s="7"/>
      <c r="E228" s="7"/>
      <c r="F228" s="93"/>
      <c r="G228" s="7"/>
      <c r="H228" s="7"/>
    </row>
    <row r="229" spans="1:10" ht="36" customHeight="1" x14ac:dyDescent="0.25">
      <c r="A229" s="398" t="s">
        <v>0</v>
      </c>
      <c r="B229" s="399" t="s">
        <v>51</v>
      </c>
      <c r="C229" s="275"/>
      <c r="D229" s="404" t="s">
        <v>3</v>
      </c>
      <c r="E229" s="398" t="s">
        <v>253</v>
      </c>
      <c r="F229" s="398" t="s">
        <v>254</v>
      </c>
      <c r="G229" s="398" t="s">
        <v>253</v>
      </c>
      <c r="H229" s="398" t="s">
        <v>254</v>
      </c>
      <c r="I229" s="398" t="s">
        <v>253</v>
      </c>
      <c r="J229" s="398" t="s">
        <v>254</v>
      </c>
    </row>
    <row r="230" spans="1:10" ht="21.75" customHeight="1" x14ac:dyDescent="0.25">
      <c r="A230" s="399"/>
      <c r="B230" s="447"/>
      <c r="C230" s="275"/>
      <c r="D230" s="184" t="s">
        <v>81</v>
      </c>
      <c r="E230" s="161">
        <f t="shared" ref="E230:J230" si="40">E231+E241+E246</f>
        <v>0</v>
      </c>
      <c r="F230" s="158">
        <f t="shared" si="40"/>
        <v>0</v>
      </c>
      <c r="G230" s="161">
        <f t="shared" si="40"/>
        <v>323</v>
      </c>
      <c r="H230" s="158">
        <f t="shared" si="40"/>
        <v>18199000</v>
      </c>
      <c r="I230" s="161">
        <f t="shared" si="40"/>
        <v>0</v>
      </c>
      <c r="J230" s="158">
        <f t="shared" si="40"/>
        <v>0</v>
      </c>
    </row>
    <row r="231" spans="1:10" s="379" customFormat="1" ht="15" customHeight="1" x14ac:dyDescent="0.25">
      <c r="A231" s="869" t="s">
        <v>317</v>
      </c>
      <c r="B231" s="867" t="s">
        <v>251</v>
      </c>
      <c r="C231" s="380"/>
      <c r="D231" s="224" t="s">
        <v>278</v>
      </c>
      <c r="E231" s="380"/>
      <c r="F231" s="380"/>
      <c r="G231" s="224">
        <f>SUM(G234:G240)</f>
        <v>312</v>
      </c>
      <c r="H231" s="84">
        <f>SUM(H234:H240)</f>
        <v>4821000</v>
      </c>
      <c r="I231" s="224">
        <f>SUM(I234:I240)</f>
        <v>0</v>
      </c>
      <c r="J231" s="84">
        <f>SUM(J234:J240)</f>
        <v>0</v>
      </c>
    </row>
    <row r="232" spans="1:10" s="379" customFormat="1" ht="15" customHeight="1" x14ac:dyDescent="0.25">
      <c r="A232" s="870"/>
      <c r="B232" s="868"/>
      <c r="C232" s="380"/>
      <c r="D232" s="83" t="s">
        <v>172</v>
      </c>
      <c r="E232" s="380"/>
      <c r="F232" s="380"/>
      <c r="G232" s="383">
        <v>95</v>
      </c>
      <c r="H232" s="17">
        <f>G232*500*12</f>
        <v>570000</v>
      </c>
      <c r="I232" s="380"/>
      <c r="J232" s="380"/>
    </row>
    <row r="233" spans="1:10" s="379" customFormat="1" ht="15" customHeight="1" x14ac:dyDescent="0.25">
      <c r="A233" s="870"/>
      <c r="B233" s="868"/>
      <c r="C233" s="380"/>
      <c r="D233" s="83" t="s">
        <v>173</v>
      </c>
      <c r="E233" s="380"/>
      <c r="F233" s="380"/>
      <c r="G233" s="383">
        <v>136</v>
      </c>
      <c r="H233" s="17">
        <f>G233*500*12</f>
        <v>816000</v>
      </c>
      <c r="I233" s="380"/>
      <c r="J233" s="380"/>
    </row>
    <row r="234" spans="1:10" s="379" customFormat="1" ht="15" customHeight="1" x14ac:dyDescent="0.25">
      <c r="A234" s="870"/>
      <c r="B234" s="868"/>
      <c r="C234" s="380"/>
      <c r="D234" s="259" t="s">
        <v>174</v>
      </c>
      <c r="E234" s="380"/>
      <c r="F234" s="380"/>
      <c r="G234" s="383">
        <v>170</v>
      </c>
      <c r="H234" s="17">
        <f>G234*500*12</f>
        <v>1020000</v>
      </c>
      <c r="I234" s="380"/>
      <c r="J234" s="380"/>
    </row>
    <row r="235" spans="1:10" s="379" customFormat="1" ht="15" customHeight="1" x14ac:dyDescent="0.25">
      <c r="A235" s="870"/>
      <c r="B235" s="868"/>
      <c r="C235" s="380"/>
      <c r="D235" s="83" t="s">
        <v>176</v>
      </c>
      <c r="E235" s="380"/>
      <c r="F235" s="380"/>
      <c r="G235" s="383">
        <v>136</v>
      </c>
      <c r="H235" s="17">
        <f>G235*500*12</f>
        <v>816000</v>
      </c>
      <c r="I235" s="380"/>
      <c r="J235" s="380"/>
    </row>
    <row r="236" spans="1:10" s="379" customFormat="1" ht="15" customHeight="1" x14ac:dyDescent="0.25">
      <c r="A236" s="870"/>
      <c r="B236" s="868"/>
      <c r="C236" s="380"/>
      <c r="D236" s="83" t="s">
        <v>177</v>
      </c>
      <c r="E236" s="380"/>
      <c r="F236" s="380"/>
      <c r="G236" s="260"/>
      <c r="H236" s="261"/>
      <c r="I236" s="380"/>
      <c r="J236" s="380"/>
    </row>
    <row r="237" spans="1:10" s="379" customFormat="1" ht="15" customHeight="1" x14ac:dyDescent="0.25">
      <c r="A237" s="870"/>
      <c r="B237" s="868"/>
      <c r="C237" s="380"/>
      <c r="D237" s="83" t="s">
        <v>178</v>
      </c>
      <c r="E237" s="380"/>
      <c r="F237" s="380"/>
      <c r="G237" s="260"/>
      <c r="H237" s="261"/>
      <c r="I237" s="380"/>
      <c r="J237" s="380"/>
    </row>
    <row r="238" spans="1:10" s="379" customFormat="1" ht="15" customHeight="1" x14ac:dyDescent="0.25">
      <c r="A238" s="870"/>
      <c r="B238" s="868"/>
      <c r="C238" s="380"/>
      <c r="D238" s="83" t="s">
        <v>179</v>
      </c>
      <c r="E238" s="380"/>
      <c r="F238" s="380"/>
      <c r="G238" s="260"/>
      <c r="H238" s="261"/>
      <c r="I238" s="380"/>
      <c r="J238" s="380"/>
    </row>
    <row r="239" spans="1:10" s="379" customFormat="1" ht="15" customHeight="1" x14ac:dyDescent="0.25">
      <c r="A239" s="870"/>
      <c r="B239" s="868"/>
      <c r="C239" s="380"/>
      <c r="D239" s="83" t="s">
        <v>180</v>
      </c>
      <c r="E239" s="380"/>
      <c r="F239" s="380"/>
      <c r="G239" s="260"/>
      <c r="H239" s="261"/>
      <c r="I239" s="380"/>
      <c r="J239" s="380"/>
    </row>
    <row r="240" spans="1:10" s="379" customFormat="1" ht="15" customHeight="1" x14ac:dyDescent="0.25">
      <c r="A240" s="870"/>
      <c r="B240" s="868"/>
      <c r="C240" s="380"/>
      <c r="D240" s="262" t="s">
        <v>279</v>
      </c>
      <c r="E240" s="380"/>
      <c r="F240" s="380"/>
      <c r="G240" s="263">
        <v>6</v>
      </c>
      <c r="H240" s="264">
        <v>2985000</v>
      </c>
      <c r="I240" s="380"/>
      <c r="J240" s="380"/>
    </row>
    <row r="241" spans="1:10" s="379" customFormat="1" ht="15" customHeight="1" x14ac:dyDescent="0.25">
      <c r="A241" s="870"/>
      <c r="B241" s="868"/>
      <c r="C241" s="380"/>
      <c r="D241" s="224" t="s">
        <v>80</v>
      </c>
      <c r="E241" s="380"/>
      <c r="F241" s="380"/>
      <c r="G241" s="224">
        <f>SUM(G243:G245)</f>
        <v>8</v>
      </c>
      <c r="H241" s="84">
        <f>SUM(H243:H245)</f>
        <v>10295000</v>
      </c>
      <c r="I241" s="224">
        <f>SUM(I243:I245)</f>
        <v>0</v>
      </c>
      <c r="J241" s="84">
        <f>SUM(J243:J245)</f>
        <v>0</v>
      </c>
    </row>
    <row r="242" spans="1:10" s="379" customFormat="1" ht="15" customHeight="1" x14ac:dyDescent="0.25">
      <c r="A242" s="870"/>
      <c r="B242" s="868"/>
      <c r="C242" s="380"/>
      <c r="D242" s="83" t="s">
        <v>182</v>
      </c>
      <c r="E242" s="380"/>
      <c r="F242" s="380"/>
      <c r="G242" s="380"/>
      <c r="H242" s="380"/>
      <c r="I242" s="380"/>
      <c r="J242" s="380"/>
    </row>
    <row r="243" spans="1:10" s="379" customFormat="1" ht="15" customHeight="1" x14ac:dyDescent="0.25">
      <c r="A243" s="870"/>
      <c r="B243" s="868"/>
      <c r="C243" s="380"/>
      <c r="D243" s="259" t="s">
        <v>280</v>
      </c>
      <c r="E243" s="380"/>
      <c r="F243" s="380"/>
      <c r="G243" s="260">
        <v>1</v>
      </c>
      <c r="H243" s="261">
        <v>2550000</v>
      </c>
      <c r="I243" s="380"/>
      <c r="J243" s="380"/>
    </row>
    <row r="244" spans="1:10" s="379" customFormat="1" ht="15" customHeight="1" x14ac:dyDescent="0.25">
      <c r="A244" s="870"/>
      <c r="B244" s="868"/>
      <c r="C244" s="380"/>
      <c r="D244" s="262" t="s">
        <v>281</v>
      </c>
      <c r="E244" s="380"/>
      <c r="F244" s="380"/>
      <c r="G244" s="263">
        <v>4</v>
      </c>
      <c r="H244" s="264">
        <v>3995000</v>
      </c>
      <c r="I244" s="380"/>
      <c r="J244" s="380"/>
    </row>
    <row r="245" spans="1:10" s="379" customFormat="1" ht="15" customHeight="1" x14ac:dyDescent="0.25">
      <c r="A245" s="870"/>
      <c r="B245" s="868"/>
      <c r="C245" s="380"/>
      <c r="D245" s="262" t="s">
        <v>185</v>
      </c>
      <c r="E245" s="380"/>
      <c r="F245" s="380"/>
      <c r="G245" s="263">
        <v>3</v>
      </c>
      <c r="H245" s="264">
        <v>3750000</v>
      </c>
      <c r="I245" s="380"/>
      <c r="J245" s="380"/>
    </row>
    <row r="246" spans="1:10" s="379" customFormat="1" ht="15" customHeight="1" x14ac:dyDescent="0.25">
      <c r="A246" s="870"/>
      <c r="B246" s="868"/>
      <c r="C246" s="380"/>
      <c r="D246" s="224" t="s">
        <v>97</v>
      </c>
      <c r="E246" s="380"/>
      <c r="F246" s="380"/>
      <c r="G246" s="224">
        <f>SUM(G249:G250)</f>
        <v>3</v>
      </c>
      <c r="H246" s="84">
        <f>SUM(H249:H250)</f>
        <v>3083000</v>
      </c>
      <c r="I246" s="224">
        <f>SUM(I249:I250)</f>
        <v>0</v>
      </c>
      <c r="J246" s="84">
        <f>SUM(J249:J250)</f>
        <v>0</v>
      </c>
    </row>
    <row r="247" spans="1:10" s="379" customFormat="1" ht="15" customHeight="1" x14ac:dyDescent="0.25">
      <c r="A247" s="870"/>
      <c r="B247" s="868"/>
      <c r="C247" s="380"/>
      <c r="D247" s="83" t="s">
        <v>186</v>
      </c>
      <c r="E247" s="380"/>
      <c r="F247" s="380"/>
      <c r="G247" s="380"/>
      <c r="H247" s="380"/>
      <c r="I247" s="380"/>
      <c r="J247" s="380"/>
    </row>
    <row r="248" spans="1:10" s="379" customFormat="1" ht="15" customHeight="1" x14ac:dyDescent="0.25">
      <c r="A248" s="870"/>
      <c r="B248" s="868"/>
      <c r="C248" s="380"/>
      <c r="D248" s="83" t="s">
        <v>187</v>
      </c>
      <c r="E248" s="380"/>
      <c r="F248" s="380"/>
      <c r="G248" s="380"/>
      <c r="H248" s="380"/>
      <c r="I248" s="380"/>
      <c r="J248" s="380"/>
    </row>
    <row r="249" spans="1:10" s="379" customFormat="1" ht="15" customHeight="1" x14ac:dyDescent="0.25">
      <c r="A249" s="870"/>
      <c r="B249" s="868"/>
      <c r="C249" s="380"/>
      <c r="D249" s="259" t="s">
        <v>188</v>
      </c>
      <c r="E249" s="380"/>
      <c r="F249" s="380"/>
      <c r="G249" s="260">
        <v>1</v>
      </c>
      <c r="H249" s="261">
        <v>2000000</v>
      </c>
      <c r="I249" s="380"/>
      <c r="J249" s="380"/>
    </row>
    <row r="250" spans="1:10" s="379" customFormat="1" ht="15" customHeight="1" x14ac:dyDescent="0.25">
      <c r="A250" s="873"/>
      <c r="B250" s="874"/>
      <c r="C250" s="380"/>
      <c r="D250" s="259" t="s">
        <v>284</v>
      </c>
      <c r="E250" s="380"/>
      <c r="F250" s="380"/>
      <c r="G250" s="260">
        <v>2</v>
      </c>
      <c r="H250" s="261">
        <v>1083000</v>
      </c>
      <c r="I250" s="380"/>
      <c r="J250" s="380"/>
    </row>
    <row r="251" spans="1:10" s="435" customFormat="1" x14ac:dyDescent="0.25">
      <c r="A251" s="435" t="s">
        <v>26</v>
      </c>
      <c r="B251" s="435" t="s">
        <v>28</v>
      </c>
      <c r="D251" s="435" t="s">
        <v>31</v>
      </c>
    </row>
    <row r="252" spans="1:10" x14ac:dyDescent="0.25">
      <c r="F252"/>
    </row>
    <row r="253" spans="1:10" x14ac:dyDescent="0.25">
      <c r="A253" t="s">
        <v>27</v>
      </c>
      <c r="B253" t="s">
        <v>29</v>
      </c>
      <c r="D253" t="s">
        <v>32</v>
      </c>
      <c r="F253"/>
    </row>
    <row r="254" spans="1:10" x14ac:dyDescent="0.25">
      <c r="A254" t="s">
        <v>223</v>
      </c>
      <c r="B254" t="s">
        <v>30</v>
      </c>
      <c r="D254" t="s">
        <v>33</v>
      </c>
      <c r="F254"/>
    </row>
  </sheetData>
  <mergeCells count="43">
    <mergeCell ref="C135:C136"/>
    <mergeCell ref="A158:A159"/>
    <mergeCell ref="C158:C159"/>
    <mergeCell ref="I7:J7"/>
    <mergeCell ref="A115:A123"/>
    <mergeCell ref="C112:C133"/>
    <mergeCell ref="B89:B110"/>
    <mergeCell ref="C89:C110"/>
    <mergeCell ref="B112:B133"/>
    <mergeCell ref="A112:A113"/>
    <mergeCell ref="A7:A8"/>
    <mergeCell ref="B7:B8"/>
    <mergeCell ref="C7:C8"/>
    <mergeCell ref="D7:D8"/>
    <mergeCell ref="G7:H7"/>
    <mergeCell ref="E7:F7"/>
    <mergeCell ref="B183:B204"/>
    <mergeCell ref="A186:A194"/>
    <mergeCell ref="B206:B214"/>
    <mergeCell ref="A209:A217"/>
    <mergeCell ref="A14:A22"/>
    <mergeCell ref="A135:A136"/>
    <mergeCell ref="B57:B78"/>
    <mergeCell ref="A92:A100"/>
    <mergeCell ref="B135:B156"/>
    <mergeCell ref="A138:A146"/>
    <mergeCell ref="A162:A170"/>
    <mergeCell ref="A231:A250"/>
    <mergeCell ref="B231:B250"/>
    <mergeCell ref="A1:J1"/>
    <mergeCell ref="A2:J2"/>
    <mergeCell ref="A4:J4"/>
    <mergeCell ref="A11:A12"/>
    <mergeCell ref="C11:C12"/>
    <mergeCell ref="B11:B22"/>
    <mergeCell ref="B158:B181"/>
    <mergeCell ref="A34:A35"/>
    <mergeCell ref="B34:B39"/>
    <mergeCell ref="C34:C35"/>
    <mergeCell ref="A57:A58"/>
    <mergeCell ref="C57:C58"/>
    <mergeCell ref="A37:A45"/>
    <mergeCell ref="A60:A68"/>
  </mergeCells>
  <printOptions horizontalCentered="1"/>
  <pageMargins left="0.52" right="0.66" top="0.68" bottom="0.69" header="0.3" footer="0.4"/>
  <pageSetup paperSize="9" scale="80" orientation="landscape" verticalDpi="300" r:id="rId1"/>
  <headerFooter>
    <oddFooter>&amp;LProvince of Tarlac
&amp;CPage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10"/>
  <sheetViews>
    <sheetView view="pageBreakPreview" topLeftCell="A58" zoomScale="60" zoomScaleNormal="80" workbookViewId="0">
      <selection activeCell="E14" sqref="E14"/>
    </sheetView>
  </sheetViews>
  <sheetFormatPr defaultRowHeight="15" x14ac:dyDescent="0.25"/>
  <cols>
    <col min="1" max="1" width="19.5703125" customWidth="1"/>
    <col min="2" max="2" width="13.140625" customWidth="1"/>
    <col min="3" max="3" width="22.85546875" style="97" customWidth="1"/>
    <col min="4" max="4" width="12.85546875" style="97" customWidth="1"/>
    <col min="5" max="5" width="21.42578125" style="97" customWidth="1"/>
    <col min="6" max="6" width="9.5703125" customWidth="1"/>
    <col min="7" max="7" width="19.28515625" customWidth="1"/>
    <col min="8" max="8" width="11" customWidth="1"/>
    <col min="9" max="9" width="21.42578125" style="97" customWidth="1"/>
    <col min="10" max="10" width="11.5703125" customWidth="1"/>
    <col min="11" max="11" width="23" style="97" customWidth="1"/>
    <col min="12" max="12" width="11.42578125" customWidth="1"/>
    <col min="13" max="13" width="19.28515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415</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s="501" customFormat="1" ht="23.45" x14ac:dyDescent="0.45">
      <c r="A7" s="497"/>
      <c r="B7" s="502"/>
      <c r="C7" s="505"/>
      <c r="D7" s="502"/>
      <c r="E7" s="505"/>
      <c r="F7" s="502"/>
      <c r="K7" s="505"/>
    </row>
    <row r="8" spans="1:13" s="48" customFormat="1" ht="51" customHeight="1" x14ac:dyDescent="0.25">
      <c r="A8" s="906" t="s">
        <v>3</v>
      </c>
      <c r="B8" s="913" t="s">
        <v>5</v>
      </c>
      <c r="C8" s="914"/>
      <c r="D8" s="914"/>
      <c r="E8" s="915"/>
      <c r="F8" s="913" t="s">
        <v>7</v>
      </c>
      <c r="G8" s="914"/>
      <c r="H8" s="914"/>
      <c r="I8" s="915"/>
      <c r="J8" s="913" t="s">
        <v>306</v>
      </c>
      <c r="K8" s="914"/>
      <c r="L8" s="914"/>
      <c r="M8" s="915"/>
    </row>
    <row r="9" spans="1:13" ht="18" customHeight="1" x14ac:dyDescent="0.25">
      <c r="A9" s="906"/>
      <c r="B9" s="899" t="s">
        <v>327</v>
      </c>
      <c r="C9" s="899"/>
      <c r="D9" s="900" t="s">
        <v>333</v>
      </c>
      <c r="E9" s="901"/>
      <c r="F9" s="899" t="s">
        <v>327</v>
      </c>
      <c r="G9" s="899"/>
      <c r="H9" s="900" t="s">
        <v>333</v>
      </c>
      <c r="I9" s="901"/>
      <c r="J9" s="899" t="s">
        <v>327</v>
      </c>
      <c r="K9" s="899"/>
      <c r="L9" s="900" t="s">
        <v>333</v>
      </c>
      <c r="M9" s="901"/>
    </row>
    <row r="10" spans="1:13" s="343" customFormat="1" ht="45" x14ac:dyDescent="0.25">
      <c r="A10" s="906"/>
      <c r="B10" s="581" t="s">
        <v>307</v>
      </c>
      <c r="C10" s="476" t="s">
        <v>60</v>
      </c>
      <c r="D10" s="581" t="s">
        <v>307</v>
      </c>
      <c r="E10" s="17" t="s">
        <v>305</v>
      </c>
      <c r="F10" s="581" t="s">
        <v>308</v>
      </c>
      <c r="G10" s="582" t="s">
        <v>60</v>
      </c>
      <c r="H10" s="581" t="s">
        <v>308</v>
      </c>
      <c r="I10" s="17" t="s">
        <v>305</v>
      </c>
      <c r="J10" s="581" t="s">
        <v>309</v>
      </c>
      <c r="K10" s="476" t="s">
        <v>60</v>
      </c>
      <c r="L10" s="581" t="s">
        <v>309</v>
      </c>
      <c r="M10" s="476" t="s">
        <v>305</v>
      </c>
    </row>
    <row r="11" spans="1:13" s="590" customFormat="1" ht="22.15" customHeight="1" x14ac:dyDescent="0.3">
      <c r="A11" s="610" t="s">
        <v>14</v>
      </c>
      <c r="B11" s="611">
        <f>B12+B23+B28</f>
        <v>40171</v>
      </c>
      <c r="C11" s="612">
        <f>C12+C23+C28</f>
        <v>602565000</v>
      </c>
      <c r="D11" s="611">
        <f t="shared" ref="D11:M11" si="0">D12+D23+D28</f>
        <v>39770</v>
      </c>
      <c r="E11" s="612">
        <f t="shared" si="0"/>
        <v>422011600</v>
      </c>
      <c r="F11" s="611">
        <f t="shared" si="0"/>
        <v>4132</v>
      </c>
      <c r="G11" s="612">
        <f t="shared" si="0"/>
        <v>41320000</v>
      </c>
      <c r="H11" s="611">
        <f t="shared" si="0"/>
        <v>1534</v>
      </c>
      <c r="I11" s="612">
        <f t="shared" si="0"/>
        <v>8355000</v>
      </c>
      <c r="J11" s="611">
        <f t="shared" si="0"/>
        <v>25800</v>
      </c>
      <c r="K11" s="612">
        <f t="shared" si="0"/>
        <v>40248000</v>
      </c>
      <c r="L11" s="611">
        <f t="shared" si="0"/>
        <v>26645</v>
      </c>
      <c r="M11" s="612">
        <f t="shared" si="0"/>
        <v>22428685</v>
      </c>
    </row>
    <row r="12" spans="1:13" ht="19.149999999999999" customHeight="1" x14ac:dyDescent="0.3">
      <c r="A12" s="349" t="s">
        <v>278</v>
      </c>
      <c r="B12" s="477">
        <f t="shared" ref="B12:M12" si="1">SUM(B13:B22)</f>
        <v>12586</v>
      </c>
      <c r="C12" s="351">
        <f t="shared" si="1"/>
        <v>188790000</v>
      </c>
      <c r="D12" s="477">
        <f t="shared" si="1"/>
        <v>12388</v>
      </c>
      <c r="E12" s="351">
        <f t="shared" si="1"/>
        <v>128871700</v>
      </c>
      <c r="F12" s="477">
        <f t="shared" si="1"/>
        <v>1558</v>
      </c>
      <c r="G12" s="351">
        <f t="shared" si="1"/>
        <v>15580000</v>
      </c>
      <c r="H12" s="477">
        <f t="shared" si="1"/>
        <v>473</v>
      </c>
      <c r="I12" s="351">
        <f t="shared" si="1"/>
        <v>2435000</v>
      </c>
      <c r="J12" s="477">
        <f t="shared" si="1"/>
        <v>9200</v>
      </c>
      <c r="K12" s="351">
        <f t="shared" si="1"/>
        <v>14352000</v>
      </c>
      <c r="L12" s="350">
        <f t="shared" si="1"/>
        <v>9636</v>
      </c>
      <c r="M12" s="351">
        <f t="shared" si="1"/>
        <v>11615053</v>
      </c>
    </row>
    <row r="13" spans="1:13" ht="14.45" x14ac:dyDescent="0.3">
      <c r="A13" s="83" t="s">
        <v>172</v>
      </c>
      <c r="B13" s="426">
        <f>Tar_1st!B13</f>
        <v>405</v>
      </c>
      <c r="C13" s="100">
        <f>Tar_1st!C13</f>
        <v>6075000</v>
      </c>
      <c r="D13" s="426">
        <f>Tar_1st!D13</f>
        <v>396</v>
      </c>
      <c r="E13" s="100">
        <f>Tar_1st!E13</f>
        <v>3962600</v>
      </c>
      <c r="F13" s="30">
        <f>Tar_1st!F13</f>
        <v>0</v>
      </c>
      <c r="G13" s="624">
        <f>Tar_1st!G13</f>
        <v>0</v>
      </c>
      <c r="H13" s="30">
        <f>Tar_1st!H13</f>
        <v>0</v>
      </c>
      <c r="I13" s="624">
        <f>Tar_1st!I13</f>
        <v>0</v>
      </c>
      <c r="J13" s="581">
        <f>Tar_1st!J13</f>
        <v>300</v>
      </c>
      <c r="K13" s="17">
        <f>Tar_1st!K13</f>
        <v>468000</v>
      </c>
      <c r="L13" s="622">
        <f>Tar_1st!L13</f>
        <v>355</v>
      </c>
      <c r="M13" s="17">
        <f>Tar_1st!M13</f>
        <v>558300</v>
      </c>
    </row>
    <row r="14" spans="1:13" ht="14.45" x14ac:dyDescent="0.3">
      <c r="A14" s="83" t="s">
        <v>173</v>
      </c>
      <c r="B14" s="426">
        <f>Tar_1st!B14</f>
        <v>1651</v>
      </c>
      <c r="C14" s="100">
        <f>Tar_1st!C14</f>
        <v>24765000</v>
      </c>
      <c r="D14" s="426">
        <f>Tar_1st!D14</f>
        <v>1641</v>
      </c>
      <c r="E14" s="100">
        <f>Tar_1st!E14</f>
        <v>17316500</v>
      </c>
      <c r="F14" s="30">
        <f>Tar_1st!F14</f>
        <v>320</v>
      </c>
      <c r="G14" s="624">
        <f>Tar_1st!G14</f>
        <v>3200000</v>
      </c>
      <c r="H14" s="30">
        <f>Tar_1st!H14</f>
        <v>0</v>
      </c>
      <c r="I14" s="624">
        <f>Tar_1st!I14</f>
        <v>0</v>
      </c>
      <c r="J14" s="622">
        <f>Tar_1st!J14</f>
        <v>2100</v>
      </c>
      <c r="K14" s="17">
        <f>Tar_1st!K14</f>
        <v>3276000</v>
      </c>
      <c r="L14" s="622">
        <f>Tar_1st!L14</f>
        <v>2191</v>
      </c>
      <c r="M14" s="17">
        <f>Tar_1st!M14</f>
        <v>3444252</v>
      </c>
    </row>
    <row r="15" spans="1:13" ht="14.45" x14ac:dyDescent="0.3">
      <c r="A15" s="83" t="s">
        <v>174</v>
      </c>
      <c r="B15" s="426">
        <f>Tar_1st!B15</f>
        <v>1604</v>
      </c>
      <c r="C15" s="100">
        <f>Tar_1st!C15</f>
        <v>24060000</v>
      </c>
      <c r="D15" s="426">
        <f>Tar_1st!D15</f>
        <v>1572</v>
      </c>
      <c r="E15" s="100">
        <f>Tar_1st!E15</f>
        <v>14649800</v>
      </c>
      <c r="F15" s="30">
        <f>Tar_1st!F15</f>
        <v>0</v>
      </c>
      <c r="G15" s="624">
        <f>Tar_1st!G15</f>
        <v>0</v>
      </c>
      <c r="H15" s="30">
        <f>Tar_1st!H15</f>
        <v>33</v>
      </c>
      <c r="I15" s="624">
        <f>Tar_1st!I15</f>
        <v>165000</v>
      </c>
      <c r="J15" s="622">
        <f>Tar_1st!J15</f>
        <v>800</v>
      </c>
      <c r="K15" s="17">
        <f>Tar_1st!K15</f>
        <v>1248000</v>
      </c>
      <c r="L15" s="622">
        <f>Tar_1st!L15</f>
        <v>740</v>
      </c>
      <c r="M15" s="17">
        <f>Tar_1st!M15</f>
        <v>1163300</v>
      </c>
    </row>
    <row r="16" spans="1:13" ht="14.45" x14ac:dyDescent="0.3">
      <c r="A16" s="83" t="s">
        <v>175</v>
      </c>
      <c r="B16" s="426">
        <f>Tar_1st!B16</f>
        <v>2045</v>
      </c>
      <c r="C16" s="100">
        <f>Tar_1st!C16</f>
        <v>30675000</v>
      </c>
      <c r="D16" s="426">
        <f>Tar_1st!D16</f>
        <v>2037</v>
      </c>
      <c r="E16" s="100">
        <f>Tar_1st!E16</f>
        <v>22097200</v>
      </c>
      <c r="F16" s="30">
        <f>Tar_1st!F16</f>
        <v>715</v>
      </c>
      <c r="G16" s="624">
        <f>Tar_1st!G16</f>
        <v>7150000</v>
      </c>
      <c r="H16" s="30">
        <f>Tar_1st!H16</f>
        <v>135</v>
      </c>
      <c r="I16" s="624">
        <f>Tar_1st!I16</f>
        <v>675000</v>
      </c>
      <c r="J16" s="622">
        <f>Tar_1st!J16</f>
        <v>1300</v>
      </c>
      <c r="K16" s="17">
        <f>Tar_1st!K16</f>
        <v>2028000</v>
      </c>
      <c r="L16" s="622">
        <f>Tar_1st!L16</f>
        <v>1349</v>
      </c>
      <c r="M16" s="17">
        <f>Tar_1st!M16</f>
        <v>964535</v>
      </c>
    </row>
    <row r="17" spans="1:13" ht="14.45" x14ac:dyDescent="0.3">
      <c r="A17" s="83" t="s">
        <v>176</v>
      </c>
      <c r="B17" s="426">
        <f>Tar_1st!B17</f>
        <v>2381</v>
      </c>
      <c r="C17" s="100">
        <f>Tar_1st!C17</f>
        <v>35715000</v>
      </c>
      <c r="D17" s="426">
        <f>Tar_1st!D17</f>
        <v>2326</v>
      </c>
      <c r="E17" s="100">
        <f>Tar_1st!E17</f>
        <v>24329600</v>
      </c>
      <c r="F17" s="30">
        <f>Tar_1st!F17</f>
        <v>250</v>
      </c>
      <c r="G17" s="624">
        <f>Tar_1st!G17</f>
        <v>2500000</v>
      </c>
      <c r="H17" s="30">
        <f>Tar_1st!H17</f>
        <v>80</v>
      </c>
      <c r="I17" s="624">
        <f>Tar_1st!I17</f>
        <v>430000</v>
      </c>
      <c r="J17" s="622">
        <f>Tar_1st!J17</f>
        <v>1600</v>
      </c>
      <c r="K17" s="17">
        <f>Tar_1st!K17</f>
        <v>2496000</v>
      </c>
      <c r="L17" s="622">
        <f>Tar_1st!L17</f>
        <v>1644</v>
      </c>
      <c r="M17" s="17">
        <f>Tar_1st!M17</f>
        <v>1089972</v>
      </c>
    </row>
    <row r="18" spans="1:13" ht="14.45" x14ac:dyDescent="0.3">
      <c r="A18" s="83" t="s">
        <v>177</v>
      </c>
      <c r="B18" s="426">
        <f>Tar_1st!B18</f>
        <v>674</v>
      </c>
      <c r="C18" s="100">
        <f>Tar_1st!C18</f>
        <v>10110000</v>
      </c>
      <c r="D18" s="426">
        <f>Tar_1st!D18</f>
        <v>656</v>
      </c>
      <c r="E18" s="100">
        <f>Tar_1st!E18</f>
        <v>6656800</v>
      </c>
      <c r="F18" s="30">
        <f>Tar_1st!F18</f>
        <v>113</v>
      </c>
      <c r="G18" s="624">
        <f>Tar_1st!G18</f>
        <v>1130000</v>
      </c>
      <c r="H18" s="30">
        <f>Tar_1st!H18</f>
        <v>0</v>
      </c>
      <c r="I18" s="624">
        <f>Tar_1st!I18</f>
        <v>0</v>
      </c>
      <c r="J18" s="622">
        <f>Tar_1st!J18</f>
        <v>550</v>
      </c>
      <c r="K18" s="17">
        <f>Tar_1st!K18</f>
        <v>858000</v>
      </c>
      <c r="L18" s="622">
        <f>Tar_1st!L18</f>
        <v>608</v>
      </c>
      <c r="M18" s="17">
        <f>Tar_1st!M18</f>
        <v>955776</v>
      </c>
    </row>
    <row r="19" spans="1:13" ht="14.45" x14ac:dyDescent="0.3">
      <c r="A19" s="83" t="s">
        <v>178</v>
      </c>
      <c r="B19" s="426">
        <f>Tar_1st!B19</f>
        <v>973</v>
      </c>
      <c r="C19" s="100">
        <f>Tar_1st!C19</f>
        <v>14595000</v>
      </c>
      <c r="D19" s="426">
        <f>Tar_1st!D19</f>
        <v>974</v>
      </c>
      <c r="E19" s="100">
        <f>Tar_1st!E19</f>
        <v>10659700</v>
      </c>
      <c r="F19" s="30">
        <f>Tar_1st!F19</f>
        <v>0</v>
      </c>
      <c r="G19" s="624">
        <f>Tar_1st!G19</f>
        <v>0</v>
      </c>
      <c r="H19" s="30">
        <f>Tar_1st!H19</f>
        <v>132</v>
      </c>
      <c r="I19" s="624">
        <f>Tar_1st!I19</f>
        <v>685000</v>
      </c>
      <c r="J19" s="622">
        <f>Tar_1st!J19</f>
        <v>500</v>
      </c>
      <c r="K19" s="17">
        <f>Tar_1st!K19</f>
        <v>780000</v>
      </c>
      <c r="L19" s="622">
        <f>Tar_1st!L19</f>
        <v>578</v>
      </c>
      <c r="M19" s="17">
        <f>Tar_1st!M19</f>
        <v>826540</v>
      </c>
    </row>
    <row r="20" spans="1:13" ht="14.45" x14ac:dyDescent="0.3">
      <c r="A20" s="83" t="s">
        <v>179</v>
      </c>
      <c r="B20" s="426">
        <f>Tar_1st!B20</f>
        <v>532</v>
      </c>
      <c r="C20" s="100">
        <f>Tar_1st!C20</f>
        <v>7980000</v>
      </c>
      <c r="D20" s="426">
        <f>Tar_1st!D20</f>
        <v>511</v>
      </c>
      <c r="E20" s="100">
        <f>Tar_1st!E20</f>
        <v>5177400</v>
      </c>
      <c r="F20" s="30">
        <f>Tar_1st!F20</f>
        <v>0</v>
      </c>
      <c r="G20" s="624">
        <f>Tar_1st!G20</f>
        <v>0</v>
      </c>
      <c r="H20" s="30">
        <f>Tar_1st!H20</f>
        <v>0</v>
      </c>
      <c r="I20" s="624">
        <f>Tar_1st!I20</f>
        <v>0</v>
      </c>
      <c r="J20" s="622">
        <f>Tar_1st!J20</f>
        <v>400</v>
      </c>
      <c r="K20" s="17">
        <f>Tar_1st!K20</f>
        <v>624000</v>
      </c>
      <c r="L20" s="622">
        <f>Tar_1st!L20</f>
        <v>414</v>
      </c>
      <c r="M20" s="17">
        <f>Tar_1st!M20</f>
        <v>650808</v>
      </c>
    </row>
    <row r="21" spans="1:13" ht="14.45" x14ac:dyDescent="0.3">
      <c r="A21" s="83" t="s">
        <v>180</v>
      </c>
      <c r="B21" s="426">
        <f>Tar_1st!B21</f>
        <v>973</v>
      </c>
      <c r="C21" s="100">
        <f>Tar_1st!C21</f>
        <v>14595000</v>
      </c>
      <c r="D21" s="426">
        <f>Tar_1st!D21</f>
        <v>969</v>
      </c>
      <c r="E21" s="100">
        <f>Tar_1st!E21</f>
        <v>10819000</v>
      </c>
      <c r="F21" s="30">
        <f>Tar_1st!F21</f>
        <v>0</v>
      </c>
      <c r="G21" s="624">
        <f>Tar_1st!G21</f>
        <v>0</v>
      </c>
      <c r="H21" s="30">
        <f>Tar_1st!H21</f>
        <v>93</v>
      </c>
      <c r="I21" s="624">
        <f>Tar_1st!I21</f>
        <v>480000</v>
      </c>
      <c r="J21" s="622">
        <f>Tar_1st!J21</f>
        <v>750</v>
      </c>
      <c r="K21" s="17">
        <f>Tar_1st!K21</f>
        <v>1170000</v>
      </c>
      <c r="L21" s="622">
        <f>Tar_1st!L21</f>
        <v>823</v>
      </c>
      <c r="M21" s="17">
        <f>Tar_1st!M21</f>
        <v>1293760</v>
      </c>
    </row>
    <row r="22" spans="1:13" ht="14.45" x14ac:dyDescent="0.3">
      <c r="A22" s="83" t="s">
        <v>181</v>
      </c>
      <c r="B22" s="426">
        <f>Tar_1st!B22</f>
        <v>1348</v>
      </c>
      <c r="C22" s="100">
        <f>Tar_1st!C22</f>
        <v>20220000</v>
      </c>
      <c r="D22" s="426">
        <f>Tar_1st!D22</f>
        <v>1306</v>
      </c>
      <c r="E22" s="100">
        <f>Tar_1st!E22</f>
        <v>13203100</v>
      </c>
      <c r="F22" s="30">
        <f>Tar_1st!F22</f>
        <v>160</v>
      </c>
      <c r="G22" s="624">
        <f>Tar_1st!G22</f>
        <v>1600000</v>
      </c>
      <c r="H22" s="30">
        <f>Tar_1st!H22</f>
        <v>0</v>
      </c>
      <c r="I22" s="624">
        <f>Tar_1st!I22</f>
        <v>0</v>
      </c>
      <c r="J22" s="622">
        <f>Tar_1st!J22</f>
        <v>900</v>
      </c>
      <c r="K22" s="17">
        <f>Tar_1st!K22</f>
        <v>1404000</v>
      </c>
      <c r="L22" s="622">
        <f>Tar_1st!L22</f>
        <v>934</v>
      </c>
      <c r="M22" s="17">
        <f>Tar_1st!M22</f>
        <v>667810</v>
      </c>
    </row>
    <row r="23" spans="1:13" ht="14.45" x14ac:dyDescent="0.3">
      <c r="A23" s="349" t="s">
        <v>81</v>
      </c>
      <c r="B23" s="477">
        <f t="shared" ref="B23:M23" si="2">SUM(B24:B27)</f>
        <v>15811</v>
      </c>
      <c r="C23" s="351">
        <f t="shared" si="2"/>
        <v>237165000</v>
      </c>
      <c r="D23" s="477">
        <f t="shared" si="2"/>
        <v>15620</v>
      </c>
      <c r="E23" s="351">
        <f t="shared" si="2"/>
        <v>162100300</v>
      </c>
      <c r="F23" s="477">
        <f t="shared" si="2"/>
        <v>1994</v>
      </c>
      <c r="G23" s="351">
        <f t="shared" si="2"/>
        <v>19940000</v>
      </c>
      <c r="H23" s="477">
        <f t="shared" ref="H23:I23" si="3">SUM(H24:H27)</f>
        <v>290</v>
      </c>
      <c r="I23" s="351">
        <f t="shared" si="3"/>
        <v>2100000</v>
      </c>
      <c r="J23" s="477">
        <f t="shared" si="2"/>
        <v>9800</v>
      </c>
      <c r="K23" s="351">
        <f t="shared" si="2"/>
        <v>15288000</v>
      </c>
      <c r="L23" s="350">
        <f t="shared" si="2"/>
        <v>8999</v>
      </c>
      <c r="M23" s="351">
        <f t="shared" si="2"/>
        <v>4561440</v>
      </c>
    </row>
    <row r="24" spans="1:13" ht="14.45" x14ac:dyDescent="0.3">
      <c r="A24" s="83" t="s">
        <v>182</v>
      </c>
      <c r="B24" s="426">
        <f>Tar_2nd!B13</f>
        <v>3130</v>
      </c>
      <c r="C24" s="100">
        <f>Tar_2nd!C13</f>
        <v>46950000</v>
      </c>
      <c r="D24" s="426">
        <f>Tar_2nd!D13</f>
        <v>3027</v>
      </c>
      <c r="E24" s="100">
        <f>Tar_2nd!E13</f>
        <v>29984900</v>
      </c>
      <c r="F24" s="426">
        <f>Tar_2nd!F13</f>
        <v>123</v>
      </c>
      <c r="G24" s="100">
        <f>Tar_2nd!G13</f>
        <v>1230000</v>
      </c>
      <c r="H24" s="426">
        <f>Tar_2nd!H13</f>
        <v>266</v>
      </c>
      <c r="I24" s="100">
        <f>Tar_2nd!I13</f>
        <v>1860000</v>
      </c>
      <c r="J24" s="426">
        <f>Tar_2nd!J13</f>
        <v>2100</v>
      </c>
      <c r="K24" s="100">
        <f>Tar_2nd!K13</f>
        <v>3276000</v>
      </c>
      <c r="L24" s="426">
        <f>Tar_2nd!L13</f>
        <v>2024</v>
      </c>
      <c r="M24" s="100">
        <f>Tar_2nd!M13</f>
        <v>3176160</v>
      </c>
    </row>
    <row r="25" spans="1:13" ht="14.45" x14ac:dyDescent="0.3">
      <c r="A25" s="83" t="s">
        <v>183</v>
      </c>
      <c r="B25" s="426">
        <f>Tar_2nd!B14</f>
        <v>2838</v>
      </c>
      <c r="C25" s="100">
        <f>Tar_2nd!C14</f>
        <v>42570000</v>
      </c>
      <c r="D25" s="426">
        <f>Tar_2nd!D14</f>
        <v>2767</v>
      </c>
      <c r="E25" s="100">
        <f>Tar_2nd!E14</f>
        <v>29908600</v>
      </c>
      <c r="F25" s="426">
        <f>Tar_2nd!F14</f>
        <v>0</v>
      </c>
      <c r="G25" s="100">
        <f>Tar_2nd!G14</f>
        <v>0</v>
      </c>
      <c r="H25" s="426">
        <f>Tar_2nd!H14</f>
        <v>0</v>
      </c>
      <c r="I25" s="100">
        <f>Tar_2nd!I14</f>
        <v>0</v>
      </c>
      <c r="J25" s="426">
        <f>Tar_2nd!J14</f>
        <v>800</v>
      </c>
      <c r="K25" s="100">
        <f>Tar_2nd!K14</f>
        <v>1248000</v>
      </c>
      <c r="L25" s="426">
        <f>Tar_2nd!L14</f>
        <v>954</v>
      </c>
      <c r="M25" s="100">
        <f>Tar_2nd!M14</f>
        <v>355680</v>
      </c>
    </row>
    <row r="26" spans="1:13" ht="14.45" x14ac:dyDescent="0.3">
      <c r="A26" s="83" t="s">
        <v>184</v>
      </c>
      <c r="B26" s="426">
        <f>Tar_2nd!B15</f>
        <v>7738</v>
      </c>
      <c r="C26" s="100">
        <f>Tar_2nd!C15</f>
        <v>116070000</v>
      </c>
      <c r="D26" s="426">
        <f>Tar_2nd!D15</f>
        <v>7811</v>
      </c>
      <c r="E26" s="100">
        <f>Tar_2nd!E15</f>
        <v>81380000</v>
      </c>
      <c r="F26" s="426">
        <f>Tar_2nd!F15</f>
        <v>1811</v>
      </c>
      <c r="G26" s="100">
        <f>Tar_2nd!G15</f>
        <v>18110000</v>
      </c>
      <c r="H26" s="426">
        <f>Tar_2nd!H15</f>
        <v>0</v>
      </c>
      <c r="I26" s="100">
        <f>Tar_2nd!I15</f>
        <v>0</v>
      </c>
      <c r="J26" s="426">
        <f>Tar_2nd!J15</f>
        <v>5400</v>
      </c>
      <c r="K26" s="100">
        <f>Tar_2nd!K15</f>
        <v>8424000</v>
      </c>
      <c r="L26" s="426">
        <f>Tar_2nd!L15</f>
        <v>6021</v>
      </c>
      <c r="M26" s="100">
        <f>Tar_2nd!M15</f>
        <v>1029600</v>
      </c>
    </row>
    <row r="27" spans="1:13" ht="14.45" x14ac:dyDescent="0.3">
      <c r="A27" s="83" t="s">
        <v>185</v>
      </c>
      <c r="B27" s="426">
        <f>Tar_2nd!B16</f>
        <v>2105</v>
      </c>
      <c r="C27" s="100">
        <f>Tar_2nd!C16</f>
        <v>31575000</v>
      </c>
      <c r="D27" s="426">
        <f>Tar_2nd!D16</f>
        <v>2015</v>
      </c>
      <c r="E27" s="100">
        <f>Tar_2nd!E16</f>
        <v>20826800</v>
      </c>
      <c r="F27" s="426">
        <f>Tar_2nd!F16</f>
        <v>60</v>
      </c>
      <c r="G27" s="100">
        <f>Tar_2nd!G16</f>
        <v>600000</v>
      </c>
      <c r="H27" s="426">
        <f>Tar_2nd!H16</f>
        <v>24</v>
      </c>
      <c r="I27" s="100">
        <f>Tar_2nd!I16</f>
        <v>240000</v>
      </c>
      <c r="J27" s="426">
        <f>Tar_2nd!J16</f>
        <v>1500</v>
      </c>
      <c r="K27" s="100">
        <f>Tar_2nd!K16</f>
        <v>2340000</v>
      </c>
      <c r="L27" s="426">
        <f>Tar_2nd!L16</f>
        <v>0</v>
      </c>
      <c r="M27" s="100">
        <f>Tar_2nd!M16</f>
        <v>0</v>
      </c>
    </row>
    <row r="28" spans="1:13" ht="14.45" x14ac:dyDescent="0.3">
      <c r="A28" s="349" t="s">
        <v>81</v>
      </c>
      <c r="B28" s="477">
        <f t="shared" ref="B28:M28" si="4">SUM(B29:B32)</f>
        <v>11774</v>
      </c>
      <c r="C28" s="351">
        <f t="shared" si="4"/>
        <v>176610000</v>
      </c>
      <c r="D28" s="477">
        <f t="shared" si="4"/>
        <v>11762</v>
      </c>
      <c r="E28" s="351">
        <f t="shared" si="4"/>
        <v>131039600</v>
      </c>
      <c r="F28" s="477">
        <f t="shared" si="4"/>
        <v>580</v>
      </c>
      <c r="G28" s="351">
        <f t="shared" si="4"/>
        <v>5800000</v>
      </c>
      <c r="H28" s="477">
        <f t="shared" si="4"/>
        <v>771</v>
      </c>
      <c r="I28" s="351">
        <f t="shared" si="4"/>
        <v>3820000</v>
      </c>
      <c r="J28" s="477">
        <f t="shared" si="4"/>
        <v>6800</v>
      </c>
      <c r="K28" s="351">
        <f t="shared" si="4"/>
        <v>10608000</v>
      </c>
      <c r="L28" s="350">
        <f t="shared" si="4"/>
        <v>8010</v>
      </c>
      <c r="M28" s="351">
        <f t="shared" si="4"/>
        <v>6252192</v>
      </c>
    </row>
    <row r="29" spans="1:13" ht="14.45" x14ac:dyDescent="0.3">
      <c r="A29" s="83" t="s">
        <v>186</v>
      </c>
      <c r="B29" s="426">
        <f>Tar_3rd!B13</f>
        <v>1209</v>
      </c>
      <c r="C29" s="442">
        <f>Tar_3rd!C13</f>
        <v>18135000</v>
      </c>
      <c r="D29" s="426">
        <f>Tar_3rd!D13</f>
        <v>1186</v>
      </c>
      <c r="E29" s="442">
        <f>Tar_3rd!E13</f>
        <v>13439400</v>
      </c>
      <c r="F29" s="426">
        <f>Tar_3rd!F13</f>
        <v>0</v>
      </c>
      <c r="G29" s="442">
        <f>Tar_3rd!G13</f>
        <v>0</v>
      </c>
      <c r="H29" s="426">
        <f>Tar_3rd!H13</f>
        <v>35</v>
      </c>
      <c r="I29" s="442">
        <f>Tar_3rd!I13</f>
        <v>175000</v>
      </c>
      <c r="J29" s="426">
        <f>Tar_3rd!J13</f>
        <v>1000</v>
      </c>
      <c r="K29" s="442">
        <f>Tar_3rd!K13</f>
        <v>1560000</v>
      </c>
      <c r="L29" s="426">
        <f>Tar_3rd!L13</f>
        <v>1172</v>
      </c>
      <c r="M29" s="442">
        <f>Tar_3rd!M13</f>
        <v>1310400</v>
      </c>
    </row>
    <row r="30" spans="1:13" ht="14.45" x14ac:dyDescent="0.3">
      <c r="A30" s="83" t="s">
        <v>187</v>
      </c>
      <c r="B30" s="426">
        <f>Tar_3rd!B14</f>
        <v>3781</v>
      </c>
      <c r="C30" s="442">
        <f>Tar_3rd!C14</f>
        <v>56715000</v>
      </c>
      <c r="D30" s="426">
        <f>Tar_3rd!D14</f>
        <v>3747</v>
      </c>
      <c r="E30" s="442">
        <f>Tar_3rd!E14</f>
        <v>42426300</v>
      </c>
      <c r="F30" s="426">
        <f>Tar_3rd!F14</f>
        <v>335</v>
      </c>
      <c r="G30" s="442">
        <f>Tar_3rd!G14</f>
        <v>3350000</v>
      </c>
      <c r="H30" s="426">
        <f>Tar_3rd!H14</f>
        <v>300</v>
      </c>
      <c r="I30" s="442">
        <f>Tar_3rd!I14</f>
        <v>1500000</v>
      </c>
      <c r="J30" s="426">
        <f>Tar_3rd!J14</f>
        <v>1500</v>
      </c>
      <c r="K30" s="442">
        <f>Tar_3rd!K14</f>
        <v>2340000</v>
      </c>
      <c r="L30" s="426">
        <f>Tar_3rd!L14</f>
        <v>1950</v>
      </c>
      <c r="M30" s="442">
        <f>Tar_3rd!M14</f>
        <v>1029600</v>
      </c>
    </row>
    <row r="31" spans="1:13" ht="14.45" x14ac:dyDescent="0.3">
      <c r="A31" s="83" t="s">
        <v>188</v>
      </c>
      <c r="B31" s="426">
        <f>Tar_3rd!B15</f>
        <v>4500</v>
      </c>
      <c r="C31" s="442">
        <f>Tar_3rd!C15</f>
        <v>67500000</v>
      </c>
      <c r="D31" s="426">
        <f>Tar_3rd!D15</f>
        <v>4558</v>
      </c>
      <c r="E31" s="442">
        <f>Tar_3rd!E15</f>
        <v>50232000</v>
      </c>
      <c r="F31" s="426">
        <f>Tar_3rd!F15</f>
        <v>0</v>
      </c>
      <c r="G31" s="442">
        <f>Tar_3rd!G15</f>
        <v>0</v>
      </c>
      <c r="H31" s="426">
        <f>Tar_3rd!H15</f>
        <v>295</v>
      </c>
      <c r="I31" s="442">
        <f>Tar_3rd!I15</f>
        <v>1440000</v>
      </c>
      <c r="J31" s="426">
        <f>Tar_3rd!J15</f>
        <v>3000</v>
      </c>
      <c r="K31" s="442">
        <f>Tar_3rd!K15</f>
        <v>4680000</v>
      </c>
      <c r="L31" s="426">
        <f>Tar_3rd!L15</f>
        <v>3352</v>
      </c>
      <c r="M31" s="442">
        <f>Tar_3rd!M15</f>
        <v>1497600</v>
      </c>
    </row>
    <row r="32" spans="1:13" ht="14.45" x14ac:dyDescent="0.3">
      <c r="A32" s="83" t="s">
        <v>189</v>
      </c>
      <c r="B32" s="426">
        <f>Tar_3rd!B16</f>
        <v>2284</v>
      </c>
      <c r="C32" s="442">
        <f>Tar_3rd!C16</f>
        <v>34260000</v>
      </c>
      <c r="D32" s="426">
        <f>Tar_3rd!D16</f>
        <v>2271</v>
      </c>
      <c r="E32" s="442">
        <f>Tar_3rd!E16</f>
        <v>24941900</v>
      </c>
      <c r="F32" s="426">
        <f>Tar_3rd!F16</f>
        <v>245</v>
      </c>
      <c r="G32" s="442">
        <f>Tar_3rd!G16</f>
        <v>2450000</v>
      </c>
      <c r="H32" s="426">
        <f>Tar_3rd!H16</f>
        <v>141</v>
      </c>
      <c r="I32" s="442">
        <f>Tar_3rd!I16</f>
        <v>705000</v>
      </c>
      <c r="J32" s="426">
        <f>Tar_3rd!J16</f>
        <v>1300</v>
      </c>
      <c r="K32" s="442">
        <f>Tar_3rd!K16</f>
        <v>2028000</v>
      </c>
      <c r="L32" s="426">
        <f>Tar_3rd!L16</f>
        <v>1536</v>
      </c>
      <c r="M32" s="442">
        <f>Tar_3rd!M16</f>
        <v>2414592</v>
      </c>
    </row>
    <row r="34" spans="1:13" s="48" customFormat="1" ht="43.5" customHeight="1" x14ac:dyDescent="0.25">
      <c r="A34" s="906" t="s">
        <v>3</v>
      </c>
      <c r="B34" s="913" t="s">
        <v>16</v>
      </c>
      <c r="C34" s="914"/>
      <c r="D34" s="914"/>
      <c r="E34" s="915"/>
      <c r="F34" s="913" t="s">
        <v>421</v>
      </c>
      <c r="G34" s="914"/>
      <c r="H34" s="914"/>
      <c r="I34" s="915"/>
      <c r="J34" s="913" t="s">
        <v>329</v>
      </c>
      <c r="K34" s="914"/>
      <c r="L34" s="914"/>
      <c r="M34" s="915"/>
    </row>
    <row r="35" spans="1:13" ht="18" customHeight="1" x14ac:dyDescent="0.25">
      <c r="A35" s="906"/>
      <c r="B35" s="899" t="s">
        <v>327</v>
      </c>
      <c r="C35" s="899"/>
      <c r="D35" s="900" t="s">
        <v>333</v>
      </c>
      <c r="E35" s="901"/>
      <c r="F35" s="899" t="s">
        <v>327</v>
      </c>
      <c r="G35" s="899"/>
      <c r="H35" s="900" t="s">
        <v>333</v>
      </c>
      <c r="I35" s="901"/>
      <c r="J35" s="899" t="s">
        <v>327</v>
      </c>
      <c r="K35" s="899"/>
      <c r="L35" s="900" t="s">
        <v>333</v>
      </c>
      <c r="M35" s="901"/>
    </row>
    <row r="36" spans="1:13" ht="45" customHeight="1" x14ac:dyDescent="0.25">
      <c r="A36" s="906"/>
      <c r="B36" s="581" t="s">
        <v>330</v>
      </c>
      <c r="C36" s="476" t="s">
        <v>60</v>
      </c>
      <c r="D36" s="581" t="s">
        <v>330</v>
      </c>
      <c r="E36" s="17" t="s">
        <v>305</v>
      </c>
      <c r="F36" s="581" t="s">
        <v>253</v>
      </c>
      <c r="G36" s="582" t="s">
        <v>60</v>
      </c>
      <c r="H36" s="581" t="s">
        <v>253</v>
      </c>
      <c r="I36" s="17" t="s">
        <v>305</v>
      </c>
      <c r="J36" s="581" t="s">
        <v>310</v>
      </c>
      <c r="K36" s="476" t="s">
        <v>60</v>
      </c>
      <c r="L36" s="581" t="s">
        <v>310</v>
      </c>
      <c r="M36" s="17" t="s">
        <v>305</v>
      </c>
    </row>
    <row r="37" spans="1:13" ht="24.6" customHeight="1" x14ac:dyDescent="0.25">
      <c r="A37" s="610" t="s">
        <v>14</v>
      </c>
      <c r="B37" s="611">
        <f t="shared" ref="B37:M37" si="5">B38+B49+B54</f>
        <v>6688</v>
      </c>
      <c r="C37" s="612">
        <f t="shared" si="5"/>
        <v>40128000</v>
      </c>
      <c r="D37" s="611">
        <f t="shared" si="5"/>
        <v>10638</v>
      </c>
      <c r="E37" s="612">
        <f t="shared" si="5"/>
        <v>63828000</v>
      </c>
      <c r="F37" s="611">
        <f t="shared" si="5"/>
        <v>25</v>
      </c>
      <c r="G37" s="612">
        <f t="shared" si="5"/>
        <v>31314861</v>
      </c>
      <c r="H37" s="611">
        <f t="shared" si="5"/>
        <v>0</v>
      </c>
      <c r="I37" s="612">
        <f t="shared" si="5"/>
        <v>0</v>
      </c>
      <c r="J37" s="611">
        <f t="shared" si="5"/>
        <v>0</v>
      </c>
      <c r="K37" s="612">
        <f t="shared" si="5"/>
        <v>0</v>
      </c>
      <c r="L37" s="611">
        <f t="shared" si="5"/>
        <v>5863</v>
      </c>
      <c r="M37" s="612">
        <f t="shared" si="5"/>
        <v>13478722</v>
      </c>
    </row>
    <row r="38" spans="1:13" x14ac:dyDescent="0.25">
      <c r="A38" s="349" t="s">
        <v>81</v>
      </c>
      <c r="B38" s="477">
        <f t="shared" ref="B38:M38" si="6">SUM(B39:B48)</f>
        <v>3342</v>
      </c>
      <c r="C38" s="351">
        <f t="shared" si="6"/>
        <v>20052000</v>
      </c>
      <c r="D38" s="477">
        <f t="shared" si="6"/>
        <v>5171</v>
      </c>
      <c r="E38" s="351">
        <f t="shared" si="6"/>
        <v>31026000</v>
      </c>
      <c r="F38" s="477">
        <f t="shared" si="6"/>
        <v>13</v>
      </c>
      <c r="G38" s="351">
        <f t="shared" si="6"/>
        <v>16078301</v>
      </c>
      <c r="H38" s="477">
        <f t="shared" si="6"/>
        <v>0</v>
      </c>
      <c r="I38" s="351">
        <f t="shared" si="6"/>
        <v>0</v>
      </c>
      <c r="J38" s="477">
        <f t="shared" si="6"/>
        <v>0</v>
      </c>
      <c r="K38" s="351">
        <f t="shared" si="6"/>
        <v>0</v>
      </c>
      <c r="L38" s="477">
        <f t="shared" si="6"/>
        <v>4761</v>
      </c>
      <c r="M38" s="351">
        <f t="shared" si="6"/>
        <v>8378500</v>
      </c>
    </row>
    <row r="39" spans="1:13" x14ac:dyDescent="0.25">
      <c r="A39" s="83" t="s">
        <v>172</v>
      </c>
      <c r="B39" s="30">
        <f>Tar_1st!B28</f>
        <v>345</v>
      </c>
      <c r="C39" s="624">
        <f>Tar_1st!C28</f>
        <v>2070000</v>
      </c>
      <c r="D39" s="30">
        <f>Tar_1st!D28</f>
        <v>423</v>
      </c>
      <c r="E39" s="624">
        <f>Tar_1st!E28</f>
        <v>2538000</v>
      </c>
      <c r="F39" s="30">
        <f>Tar_1st!F28</f>
        <v>2</v>
      </c>
      <c r="G39" s="624">
        <f>Tar_1st!G28</f>
        <v>1500000</v>
      </c>
      <c r="H39" s="30">
        <f>Tar_1st!H28</f>
        <v>0</v>
      </c>
      <c r="I39" s="624">
        <f>Tar_1st!I28</f>
        <v>0</v>
      </c>
      <c r="J39" s="478"/>
      <c r="K39" s="386"/>
      <c r="L39" s="614">
        <f>Tar_1st!L28</f>
        <v>114</v>
      </c>
      <c r="M39" s="616">
        <f>Tar_1st!M28</f>
        <v>234000</v>
      </c>
    </row>
    <row r="40" spans="1:13" x14ac:dyDescent="0.25">
      <c r="A40" s="83" t="s">
        <v>173</v>
      </c>
      <c r="B40" s="30">
        <f>Tar_1st!B29</f>
        <v>376</v>
      </c>
      <c r="C40" s="624">
        <f>Tar_1st!C29</f>
        <v>2256000</v>
      </c>
      <c r="D40" s="30">
        <f>Tar_1st!D29</f>
        <v>412</v>
      </c>
      <c r="E40" s="624">
        <f>Tar_1st!E29</f>
        <v>2472000</v>
      </c>
      <c r="F40" s="30">
        <f>Tar_1st!F29</f>
        <v>0</v>
      </c>
      <c r="G40" s="624">
        <f>Tar_1st!G29</f>
        <v>0</v>
      </c>
      <c r="H40" s="30">
        <f>Tar_1st!H29</f>
        <v>0</v>
      </c>
      <c r="I40" s="624">
        <f>Tar_1st!I29</f>
        <v>0</v>
      </c>
      <c r="J40" s="478"/>
      <c r="K40" s="386"/>
      <c r="L40" s="614">
        <f>Tar_1st!L29</f>
        <v>1253</v>
      </c>
      <c r="M40" s="616">
        <f>Tar_1st!M29</f>
        <v>2555000</v>
      </c>
    </row>
    <row r="41" spans="1:13" x14ac:dyDescent="0.25">
      <c r="A41" s="83" t="s">
        <v>174</v>
      </c>
      <c r="B41" s="30">
        <f>Tar_1st!B30</f>
        <v>359</v>
      </c>
      <c r="C41" s="624">
        <f>Tar_1st!C30</f>
        <v>2154000</v>
      </c>
      <c r="D41" s="30">
        <f>Tar_1st!D30</f>
        <v>601</v>
      </c>
      <c r="E41" s="624">
        <f>Tar_1st!E30</f>
        <v>3606000</v>
      </c>
      <c r="F41" s="30">
        <f>Tar_1st!F30</f>
        <v>3</v>
      </c>
      <c r="G41" s="624">
        <f>Tar_1st!G30</f>
        <v>3500000</v>
      </c>
      <c r="H41" s="30">
        <f>Tar_1st!H30</f>
        <v>0</v>
      </c>
      <c r="I41" s="624">
        <f>Tar_1st!I30</f>
        <v>0</v>
      </c>
      <c r="J41" s="478"/>
      <c r="K41" s="386"/>
      <c r="L41" s="614">
        <f>Tar_1st!L30</f>
        <v>47</v>
      </c>
      <c r="M41" s="616">
        <f>Tar_1st!M30</f>
        <v>106500</v>
      </c>
    </row>
    <row r="42" spans="1:13" x14ac:dyDescent="0.25">
      <c r="A42" s="83" t="s">
        <v>175</v>
      </c>
      <c r="B42" s="30">
        <f>Tar_1st!B31</f>
        <v>355</v>
      </c>
      <c r="C42" s="624">
        <f>Tar_1st!C31</f>
        <v>2130000</v>
      </c>
      <c r="D42" s="30">
        <f>Tar_1st!D31</f>
        <v>731</v>
      </c>
      <c r="E42" s="624">
        <f>Tar_1st!E31</f>
        <v>4386000</v>
      </c>
      <c r="F42" s="30">
        <f>Tar_1st!F31</f>
        <v>0</v>
      </c>
      <c r="G42" s="624">
        <f>Tar_1st!G31</f>
        <v>0</v>
      </c>
      <c r="H42" s="30">
        <f>Tar_1st!H31</f>
        <v>0</v>
      </c>
      <c r="I42" s="624">
        <f>Tar_1st!I31</f>
        <v>0</v>
      </c>
      <c r="J42" s="478"/>
      <c r="K42" s="386"/>
      <c r="L42" s="614">
        <f>Tar_1st!L31</f>
        <v>229</v>
      </c>
      <c r="M42" s="616">
        <f>Tar_1st!M31</f>
        <v>516500</v>
      </c>
    </row>
    <row r="43" spans="1:13" x14ac:dyDescent="0.25">
      <c r="A43" s="83" t="s">
        <v>176</v>
      </c>
      <c r="B43" s="30">
        <f>Tar_1st!B32</f>
        <v>349</v>
      </c>
      <c r="C43" s="624">
        <f>Tar_1st!C32</f>
        <v>2094000</v>
      </c>
      <c r="D43" s="30">
        <f>Tar_1st!D32</f>
        <v>599</v>
      </c>
      <c r="E43" s="624">
        <f>Tar_1st!E32</f>
        <v>3594000</v>
      </c>
      <c r="F43" s="30">
        <f>Tar_1st!F32</f>
        <v>2</v>
      </c>
      <c r="G43" s="624">
        <f>Tar_1st!G32</f>
        <v>3378301</v>
      </c>
      <c r="H43" s="30">
        <f>Tar_1st!H32</f>
        <v>0</v>
      </c>
      <c r="I43" s="624">
        <f>Tar_1st!I32</f>
        <v>0</v>
      </c>
      <c r="J43" s="478"/>
      <c r="K43" s="386"/>
      <c r="L43" s="614">
        <f>Tar_1st!L32</f>
        <v>732</v>
      </c>
      <c r="M43" s="616">
        <f>Tar_1st!M32</f>
        <v>1585500</v>
      </c>
    </row>
    <row r="44" spans="1:13" x14ac:dyDescent="0.25">
      <c r="A44" s="83" t="s">
        <v>177</v>
      </c>
      <c r="B44" s="30">
        <f>Tar_1st!B33</f>
        <v>318</v>
      </c>
      <c r="C44" s="624">
        <f>Tar_1st!C33</f>
        <v>1908000</v>
      </c>
      <c r="D44" s="30">
        <f>Tar_1st!D33</f>
        <v>416</v>
      </c>
      <c r="E44" s="624">
        <f>Tar_1st!E33</f>
        <v>2496000</v>
      </c>
      <c r="F44" s="30">
        <f>Tar_1st!F33</f>
        <v>0</v>
      </c>
      <c r="G44" s="624">
        <f>Tar_1st!G33</f>
        <v>0</v>
      </c>
      <c r="H44" s="30">
        <f>Tar_1st!H33</f>
        <v>0</v>
      </c>
      <c r="I44" s="624">
        <f>Tar_1st!I33</f>
        <v>0</v>
      </c>
      <c r="J44" s="478"/>
      <c r="K44" s="386"/>
      <c r="L44" s="614">
        <f>Tar_1st!L33</f>
        <v>26</v>
      </c>
      <c r="M44" s="616">
        <f>Tar_1st!M33</f>
        <v>66000</v>
      </c>
    </row>
    <row r="45" spans="1:13" x14ac:dyDescent="0.25">
      <c r="A45" s="83" t="s">
        <v>178</v>
      </c>
      <c r="B45" s="30">
        <f>Tar_1st!B34</f>
        <v>300</v>
      </c>
      <c r="C45" s="624">
        <f>Tar_1st!C34</f>
        <v>1800000</v>
      </c>
      <c r="D45" s="30">
        <f>Tar_1st!D34</f>
        <v>413</v>
      </c>
      <c r="E45" s="624">
        <f>Tar_1st!E34</f>
        <v>2478000</v>
      </c>
      <c r="F45" s="30">
        <f>Tar_1st!F34</f>
        <v>3</v>
      </c>
      <c r="G45" s="624">
        <f>Tar_1st!G34</f>
        <v>3500000</v>
      </c>
      <c r="H45" s="30">
        <f>Tar_1st!H34</f>
        <v>0</v>
      </c>
      <c r="I45" s="624">
        <f>Tar_1st!I34</f>
        <v>0</v>
      </c>
      <c r="J45" s="478"/>
      <c r="K45" s="386"/>
      <c r="L45" s="614">
        <f>Tar_1st!L34</f>
        <v>143</v>
      </c>
      <c r="M45" s="616">
        <f>Tar_1st!M34</f>
        <v>301500</v>
      </c>
    </row>
    <row r="46" spans="1:13" x14ac:dyDescent="0.25">
      <c r="A46" s="83" t="s">
        <v>179</v>
      </c>
      <c r="B46" s="30">
        <f>Tar_1st!B35</f>
        <v>307</v>
      </c>
      <c r="C46" s="624">
        <f>Tar_1st!C35</f>
        <v>1842000</v>
      </c>
      <c r="D46" s="30">
        <f>Tar_1st!D35</f>
        <v>390</v>
      </c>
      <c r="E46" s="624">
        <f>Tar_1st!E35</f>
        <v>2340000</v>
      </c>
      <c r="F46" s="30">
        <f>Tar_1st!F35</f>
        <v>1</v>
      </c>
      <c r="G46" s="624">
        <f>Tar_1st!G35</f>
        <v>500000</v>
      </c>
      <c r="H46" s="30">
        <f>Tar_1st!H35</f>
        <v>0</v>
      </c>
      <c r="I46" s="624">
        <f>Tar_1st!I35</f>
        <v>0</v>
      </c>
      <c r="J46" s="478"/>
      <c r="K46" s="386"/>
      <c r="L46" s="614">
        <f>Tar_1st!L35</f>
        <v>912</v>
      </c>
      <c r="M46" s="616">
        <f>Tar_1st!M35</f>
        <v>184500</v>
      </c>
    </row>
    <row r="47" spans="1:13" x14ac:dyDescent="0.25">
      <c r="A47" s="83" t="s">
        <v>180</v>
      </c>
      <c r="B47" s="30">
        <f>Tar_1st!B36</f>
        <v>300</v>
      </c>
      <c r="C47" s="624">
        <f>Tar_1st!C36</f>
        <v>1800000</v>
      </c>
      <c r="D47" s="30">
        <f>Tar_1st!D36</f>
        <v>527</v>
      </c>
      <c r="E47" s="624">
        <f>Tar_1st!E36</f>
        <v>3162000</v>
      </c>
      <c r="F47" s="30">
        <f>Tar_1st!F36</f>
        <v>0</v>
      </c>
      <c r="G47" s="624">
        <f>Tar_1st!G36</f>
        <v>0</v>
      </c>
      <c r="H47" s="30">
        <f>Tar_1st!H36</f>
        <v>0</v>
      </c>
      <c r="I47" s="624">
        <f>Tar_1st!I36</f>
        <v>0</v>
      </c>
      <c r="J47" s="478"/>
      <c r="K47" s="386"/>
      <c r="L47" s="614">
        <f>Tar_1st!L36</f>
        <v>196</v>
      </c>
      <c r="M47" s="616">
        <f>Tar_1st!M36</f>
        <v>405500</v>
      </c>
    </row>
    <row r="48" spans="1:13" x14ac:dyDescent="0.25">
      <c r="A48" s="83" t="s">
        <v>181</v>
      </c>
      <c r="B48" s="30">
        <f>Tar_1st!B37</f>
        <v>333</v>
      </c>
      <c r="C48" s="624">
        <f>Tar_1st!C37</f>
        <v>1998000</v>
      </c>
      <c r="D48" s="30">
        <f>Tar_1st!D37</f>
        <v>659</v>
      </c>
      <c r="E48" s="624">
        <f>Tar_1st!E37</f>
        <v>3954000</v>
      </c>
      <c r="F48" s="30">
        <f>Tar_1st!F37</f>
        <v>2</v>
      </c>
      <c r="G48" s="624">
        <f>Tar_1st!G37</f>
        <v>3700000</v>
      </c>
      <c r="H48" s="30">
        <f>Tar_1st!H37</f>
        <v>0</v>
      </c>
      <c r="I48" s="624">
        <f>Tar_1st!I37</f>
        <v>0</v>
      </c>
      <c r="J48" s="478"/>
      <c r="K48" s="386"/>
      <c r="L48" s="614">
        <f>Tar_1st!L37</f>
        <v>1109</v>
      </c>
      <c r="M48" s="616">
        <f>Tar_1st!M37</f>
        <v>2423500</v>
      </c>
    </row>
    <row r="49" spans="1:13" x14ac:dyDescent="0.25">
      <c r="A49" s="349" t="s">
        <v>81</v>
      </c>
      <c r="B49" s="477">
        <f t="shared" ref="B49:M49" si="7">SUM(B50:B53)</f>
        <v>1829</v>
      </c>
      <c r="C49" s="351">
        <f t="shared" si="7"/>
        <v>10974000</v>
      </c>
      <c r="D49" s="477">
        <f t="shared" si="7"/>
        <v>2787</v>
      </c>
      <c r="E49" s="351">
        <f t="shared" si="7"/>
        <v>16722000</v>
      </c>
      <c r="F49" s="477">
        <f t="shared" si="7"/>
        <v>7</v>
      </c>
      <c r="G49" s="351">
        <f t="shared" si="7"/>
        <v>8487000</v>
      </c>
      <c r="H49" s="477">
        <f t="shared" si="7"/>
        <v>0</v>
      </c>
      <c r="I49" s="351">
        <f t="shared" si="7"/>
        <v>0</v>
      </c>
      <c r="J49" s="477">
        <f t="shared" si="7"/>
        <v>0</v>
      </c>
      <c r="K49" s="351">
        <f t="shared" si="7"/>
        <v>0</v>
      </c>
      <c r="L49" s="508">
        <f t="shared" si="7"/>
        <v>574</v>
      </c>
      <c r="M49" s="351">
        <f t="shared" si="7"/>
        <v>2181800</v>
      </c>
    </row>
    <row r="50" spans="1:13" x14ac:dyDescent="0.25">
      <c r="A50" s="83" t="s">
        <v>182</v>
      </c>
      <c r="B50" s="30">
        <f>Tar_2nd!B22</f>
        <v>517</v>
      </c>
      <c r="C50" s="384">
        <f>Tar_2nd!C22</f>
        <v>3102000</v>
      </c>
      <c r="D50" s="30">
        <f>Tar_2nd!D22</f>
        <v>790</v>
      </c>
      <c r="E50" s="384">
        <f>Tar_2nd!E22</f>
        <v>4740000</v>
      </c>
      <c r="F50" s="30">
        <f>Tar_2nd!F22</f>
        <v>2</v>
      </c>
      <c r="G50" s="384">
        <f>Tar_2nd!G22</f>
        <v>5100000</v>
      </c>
      <c r="H50" s="30">
        <f>Tar_2nd!H22</f>
        <v>0</v>
      </c>
      <c r="I50" s="384">
        <f>Tar_2nd!I22</f>
        <v>0</v>
      </c>
      <c r="J50" s="30"/>
      <c r="K50" s="384"/>
      <c r="L50" s="30">
        <f>Tar_2nd!L22</f>
        <v>124</v>
      </c>
      <c r="M50" s="384">
        <f>Tar_2nd!M22</f>
        <v>423800</v>
      </c>
    </row>
    <row r="51" spans="1:13" x14ac:dyDescent="0.25">
      <c r="A51" s="83" t="s">
        <v>183</v>
      </c>
      <c r="B51" s="30">
        <f>Tar_2nd!B23</f>
        <v>327</v>
      </c>
      <c r="C51" s="384">
        <f>Tar_2nd!C23</f>
        <v>1962000</v>
      </c>
      <c r="D51" s="30">
        <f>Tar_2nd!D23</f>
        <v>525</v>
      </c>
      <c r="E51" s="384">
        <f>Tar_2nd!E23</f>
        <v>3150000</v>
      </c>
      <c r="F51" s="30">
        <f>Tar_2nd!F23</f>
        <v>0</v>
      </c>
      <c r="G51" s="384">
        <f>Tar_2nd!G23</f>
        <v>0</v>
      </c>
      <c r="H51" s="30">
        <f>Tar_2nd!H23</f>
        <v>0</v>
      </c>
      <c r="I51" s="384">
        <f>Tar_2nd!I23</f>
        <v>0</v>
      </c>
      <c r="J51" s="30"/>
      <c r="K51" s="384"/>
      <c r="L51" s="30">
        <f>Tar_2nd!L23</f>
        <v>21</v>
      </c>
      <c r="M51" s="384">
        <f>Tar_2nd!M23</f>
        <v>68000</v>
      </c>
    </row>
    <row r="52" spans="1:13" x14ac:dyDescent="0.25">
      <c r="A52" s="83" t="s">
        <v>184</v>
      </c>
      <c r="B52" s="30">
        <f>Tar_2nd!B24</f>
        <v>613</v>
      </c>
      <c r="C52" s="384">
        <f>Tar_2nd!C24</f>
        <v>3678000</v>
      </c>
      <c r="D52" s="30">
        <f>Tar_2nd!D24</f>
        <v>786</v>
      </c>
      <c r="E52" s="384">
        <f>Tar_2nd!E24</f>
        <v>4716000</v>
      </c>
      <c r="F52" s="30">
        <f>Tar_2nd!F24</f>
        <v>3</v>
      </c>
      <c r="G52" s="384">
        <f>Tar_2nd!G24</f>
        <v>2032000</v>
      </c>
      <c r="H52" s="30">
        <f>Tar_2nd!H24</f>
        <v>0</v>
      </c>
      <c r="I52" s="384">
        <f>Tar_2nd!I24</f>
        <v>0</v>
      </c>
      <c r="J52" s="30"/>
      <c r="K52" s="384"/>
      <c r="L52" s="30">
        <f>Tar_2nd!L24</f>
        <v>413</v>
      </c>
      <c r="M52" s="384">
        <f>Tar_2nd!M24</f>
        <v>1630000</v>
      </c>
    </row>
    <row r="53" spans="1:13" x14ac:dyDescent="0.25">
      <c r="A53" s="83" t="s">
        <v>185</v>
      </c>
      <c r="B53" s="30">
        <f>Tar_2nd!B25</f>
        <v>372</v>
      </c>
      <c r="C53" s="384">
        <f>Tar_2nd!C25</f>
        <v>2232000</v>
      </c>
      <c r="D53" s="30">
        <f>Tar_2nd!D25</f>
        <v>686</v>
      </c>
      <c r="E53" s="384">
        <f>Tar_2nd!E25</f>
        <v>4116000</v>
      </c>
      <c r="F53" s="30">
        <f>Tar_2nd!F25</f>
        <v>2</v>
      </c>
      <c r="G53" s="384">
        <f>Tar_2nd!G25</f>
        <v>1355000</v>
      </c>
      <c r="H53" s="30">
        <f>Tar_2nd!H25</f>
        <v>0</v>
      </c>
      <c r="I53" s="384">
        <f>Tar_2nd!I25</f>
        <v>0</v>
      </c>
      <c r="J53" s="30"/>
      <c r="K53" s="384"/>
      <c r="L53" s="30">
        <f>Tar_2nd!L25</f>
        <v>16</v>
      </c>
      <c r="M53" s="384">
        <f>Tar_2nd!M25</f>
        <v>60000</v>
      </c>
    </row>
    <row r="54" spans="1:13" x14ac:dyDescent="0.25">
      <c r="A54" s="349" t="s">
        <v>81</v>
      </c>
      <c r="B54" s="477">
        <f t="shared" ref="B54:M54" si="8">SUM(B55:B58)</f>
        <v>1517</v>
      </c>
      <c r="C54" s="351">
        <f t="shared" si="8"/>
        <v>9102000</v>
      </c>
      <c r="D54" s="477">
        <f t="shared" si="8"/>
        <v>2680</v>
      </c>
      <c r="E54" s="351">
        <f t="shared" si="8"/>
        <v>16080000</v>
      </c>
      <c r="F54" s="477">
        <f t="shared" si="8"/>
        <v>5</v>
      </c>
      <c r="G54" s="351">
        <f t="shared" si="8"/>
        <v>6749560</v>
      </c>
      <c r="H54" s="477">
        <f t="shared" si="8"/>
        <v>0</v>
      </c>
      <c r="I54" s="351">
        <f t="shared" si="8"/>
        <v>0</v>
      </c>
      <c r="J54" s="477">
        <f t="shared" si="8"/>
        <v>0</v>
      </c>
      <c r="K54" s="351">
        <f t="shared" si="8"/>
        <v>0</v>
      </c>
      <c r="L54" s="350">
        <f t="shared" si="8"/>
        <v>528</v>
      </c>
      <c r="M54" s="351">
        <f t="shared" si="8"/>
        <v>2918422</v>
      </c>
    </row>
    <row r="55" spans="1:13" x14ac:dyDescent="0.25">
      <c r="A55" s="83" t="s">
        <v>186</v>
      </c>
      <c r="B55" s="30">
        <f>Tar_3rd!B22</f>
        <v>343</v>
      </c>
      <c r="C55" s="384">
        <f>Tar_3rd!C22</f>
        <v>2058000</v>
      </c>
      <c r="D55" s="30">
        <f>Tar_3rd!D22</f>
        <v>585</v>
      </c>
      <c r="E55" s="384">
        <f>Tar_3rd!E22</f>
        <v>3510000</v>
      </c>
      <c r="F55" s="30">
        <f>Tar_3rd!F22</f>
        <v>1</v>
      </c>
      <c r="G55" s="384">
        <f>Tar_3rd!G22</f>
        <v>600000</v>
      </c>
      <c r="H55" s="30">
        <f>Tar_3rd!H22</f>
        <v>0</v>
      </c>
      <c r="I55" s="384">
        <f>Tar_3rd!I22</f>
        <v>0</v>
      </c>
      <c r="J55" s="478"/>
      <c r="K55" s="386"/>
      <c r="L55" s="30">
        <f>Tar_3rd!L22</f>
        <v>24</v>
      </c>
      <c r="M55" s="384">
        <f>Tar_3rd!M22</f>
        <v>122440</v>
      </c>
    </row>
    <row r="56" spans="1:13" x14ac:dyDescent="0.25">
      <c r="A56" s="83" t="s">
        <v>187</v>
      </c>
      <c r="B56" s="30">
        <f>Tar_3rd!B23</f>
        <v>367</v>
      </c>
      <c r="C56" s="384">
        <f>Tar_3rd!C23</f>
        <v>2202000</v>
      </c>
      <c r="D56" s="30">
        <f>Tar_3rd!D23</f>
        <v>510</v>
      </c>
      <c r="E56" s="384">
        <f>Tar_3rd!E23</f>
        <v>3060000</v>
      </c>
      <c r="F56" s="30">
        <f>Tar_3rd!F23</f>
        <v>1</v>
      </c>
      <c r="G56" s="384">
        <f>Tar_3rd!G23</f>
        <v>2149560</v>
      </c>
      <c r="H56" s="30">
        <f>Tar_3rd!H23</f>
        <v>0</v>
      </c>
      <c r="I56" s="384">
        <f>Tar_3rd!I23</f>
        <v>0</v>
      </c>
      <c r="J56" s="478"/>
      <c r="K56" s="386"/>
      <c r="L56" s="30">
        <f>Tar_3rd!L23</f>
        <v>80</v>
      </c>
      <c r="M56" s="384">
        <f>Tar_3rd!M23</f>
        <v>335940</v>
      </c>
    </row>
    <row r="57" spans="1:13" x14ac:dyDescent="0.25">
      <c r="A57" s="83" t="s">
        <v>188</v>
      </c>
      <c r="B57" s="30">
        <f>Tar_3rd!B24</f>
        <v>443</v>
      </c>
      <c r="C57" s="384">
        <f>Tar_3rd!C24</f>
        <v>2658000</v>
      </c>
      <c r="D57" s="30">
        <f>Tar_3rd!D24</f>
        <v>918</v>
      </c>
      <c r="E57" s="384">
        <f>Tar_3rd!E24</f>
        <v>5508000</v>
      </c>
      <c r="F57" s="30">
        <f>Tar_3rd!F24</f>
        <v>2</v>
      </c>
      <c r="G57" s="384">
        <f>Tar_3rd!G24</f>
        <v>2000000</v>
      </c>
      <c r="H57" s="30">
        <f>Tar_3rd!H24</f>
        <v>0</v>
      </c>
      <c r="I57" s="384">
        <f>Tar_3rd!I24</f>
        <v>0</v>
      </c>
      <c r="J57" s="478"/>
      <c r="K57" s="386"/>
      <c r="L57" s="30">
        <f>Tar_3rd!L24</f>
        <v>345</v>
      </c>
      <c r="M57" s="384">
        <f>Tar_3rd!M24</f>
        <v>2087377</v>
      </c>
    </row>
    <row r="58" spans="1:13" x14ac:dyDescent="0.25">
      <c r="A58" s="83" t="s">
        <v>189</v>
      </c>
      <c r="B58" s="30">
        <f>Tar_3rd!B25</f>
        <v>364</v>
      </c>
      <c r="C58" s="384">
        <f>Tar_3rd!C25</f>
        <v>2184000</v>
      </c>
      <c r="D58" s="30">
        <f>Tar_3rd!D25</f>
        <v>667</v>
      </c>
      <c r="E58" s="384">
        <f>Tar_3rd!E25</f>
        <v>4002000</v>
      </c>
      <c r="F58" s="30">
        <f>Tar_3rd!F25</f>
        <v>1</v>
      </c>
      <c r="G58" s="384">
        <f>Tar_3rd!G25</f>
        <v>2000000</v>
      </c>
      <c r="H58" s="30">
        <f>Tar_3rd!H25</f>
        <v>0</v>
      </c>
      <c r="I58" s="384">
        <f>Tar_3rd!I25</f>
        <v>0</v>
      </c>
      <c r="J58" s="478"/>
      <c r="K58" s="386"/>
      <c r="L58" s="30">
        <f>Tar_3rd!L25</f>
        <v>79</v>
      </c>
      <c r="M58" s="384">
        <f>Tar_3rd!M25</f>
        <v>372665</v>
      </c>
    </row>
    <row r="59" spans="1:13" x14ac:dyDescent="0.25">
      <c r="A59" s="116"/>
      <c r="B59" s="511"/>
      <c r="C59" s="58"/>
      <c r="D59" s="586"/>
      <c r="E59" s="58"/>
      <c r="F59" s="283"/>
      <c r="G59" s="475"/>
      <c r="H59" s="117"/>
      <c r="I59" s="510"/>
      <c r="J59" s="512"/>
      <c r="K59" s="513"/>
      <c r="L59" s="514"/>
      <c r="M59" s="475"/>
    </row>
    <row r="60" spans="1:13" s="48" customFormat="1" ht="37.5" customHeight="1" x14ac:dyDescent="0.25">
      <c r="A60" s="906" t="s">
        <v>3</v>
      </c>
      <c r="B60" s="913" t="s">
        <v>331</v>
      </c>
      <c r="C60" s="914"/>
      <c r="D60" s="914"/>
      <c r="E60" s="915"/>
      <c r="F60" s="913" t="s">
        <v>375</v>
      </c>
      <c r="G60" s="914"/>
      <c r="H60" s="914"/>
      <c r="I60" s="915"/>
      <c r="J60" s="913" t="s">
        <v>391</v>
      </c>
      <c r="K60" s="914"/>
      <c r="L60" s="914"/>
      <c r="M60" s="915"/>
    </row>
    <row r="61" spans="1:13" ht="24.75" customHeight="1" x14ac:dyDescent="0.25">
      <c r="A61" s="906"/>
      <c r="B61" s="899" t="s">
        <v>327</v>
      </c>
      <c r="C61" s="899"/>
      <c r="D61" s="900" t="s">
        <v>333</v>
      </c>
      <c r="E61" s="901"/>
      <c r="F61" s="899" t="s">
        <v>327</v>
      </c>
      <c r="G61" s="899"/>
      <c r="H61" s="900" t="s">
        <v>333</v>
      </c>
      <c r="I61" s="901"/>
      <c r="J61" s="899" t="s">
        <v>327</v>
      </c>
      <c r="K61" s="899"/>
      <c r="L61" s="900" t="s">
        <v>333</v>
      </c>
      <c r="M61" s="901"/>
    </row>
    <row r="62" spans="1:13" ht="45" customHeight="1" x14ac:dyDescent="0.25">
      <c r="A62" s="906"/>
      <c r="B62" s="581" t="s">
        <v>308</v>
      </c>
      <c r="C62" s="476" t="s">
        <v>60</v>
      </c>
      <c r="D62" s="581" t="s">
        <v>332</v>
      </c>
      <c r="E62" s="17" t="s">
        <v>305</v>
      </c>
      <c r="F62" s="581" t="s">
        <v>308</v>
      </c>
      <c r="G62" s="582" t="s">
        <v>60</v>
      </c>
      <c r="H62" s="581" t="s">
        <v>308</v>
      </c>
      <c r="I62" s="17" t="s">
        <v>305</v>
      </c>
      <c r="J62" s="581" t="s">
        <v>308</v>
      </c>
      <c r="K62" s="582" t="s">
        <v>60</v>
      </c>
      <c r="L62" s="581" t="s">
        <v>308</v>
      </c>
      <c r="M62" s="17" t="s">
        <v>305</v>
      </c>
    </row>
    <row r="63" spans="1:13" ht="24.6" customHeight="1" x14ac:dyDescent="0.25">
      <c r="A63" s="610" t="s">
        <v>14</v>
      </c>
      <c r="B63" s="611">
        <f>B64+B75+B80</f>
        <v>0</v>
      </c>
      <c r="C63" s="612">
        <f>C64+C75+C80</f>
        <v>0</v>
      </c>
      <c r="D63" s="611">
        <f>D64+D75+D80</f>
        <v>3</v>
      </c>
      <c r="E63" s="612">
        <f t="shared" ref="E63" si="9">E64+E75+E80</f>
        <v>1700</v>
      </c>
      <c r="F63" s="611">
        <f t="shared" ref="F63" si="10">F64+F75+F80</f>
        <v>0</v>
      </c>
      <c r="G63" s="612">
        <f t="shared" ref="G63" si="11">G64+G75+G80</f>
        <v>0</v>
      </c>
      <c r="H63" s="611">
        <f t="shared" ref="H63" si="12">H64+H75+H80</f>
        <v>0</v>
      </c>
      <c r="I63" s="612">
        <f t="shared" ref="I63" si="13">I64+I75+I80</f>
        <v>0</v>
      </c>
      <c r="J63" s="611">
        <f t="shared" ref="J63" si="14">J64+J75+J80</f>
        <v>0</v>
      </c>
      <c r="K63" s="612">
        <f t="shared" ref="K63" si="15">K64+K75+K80</f>
        <v>0</v>
      </c>
      <c r="L63" s="611">
        <f t="shared" ref="L63" si="16">L64+L75+L80</f>
        <v>0</v>
      </c>
      <c r="M63" s="612">
        <f t="shared" ref="M63" si="17">M64+M75+M80</f>
        <v>0</v>
      </c>
    </row>
    <row r="64" spans="1:13" x14ac:dyDescent="0.25">
      <c r="A64" s="349" t="s">
        <v>81</v>
      </c>
      <c r="B64" s="477">
        <f t="shared" ref="B64:M64" si="18">SUM(B65:B74)</f>
        <v>0</v>
      </c>
      <c r="C64" s="351">
        <f t="shared" si="18"/>
        <v>0</v>
      </c>
      <c r="D64" s="477">
        <f t="shared" si="18"/>
        <v>2</v>
      </c>
      <c r="E64" s="351">
        <f t="shared" si="18"/>
        <v>1200</v>
      </c>
      <c r="F64" s="477">
        <f t="shared" si="18"/>
        <v>0</v>
      </c>
      <c r="G64" s="351">
        <f t="shared" si="18"/>
        <v>0</v>
      </c>
      <c r="H64" s="477">
        <f t="shared" si="18"/>
        <v>0</v>
      </c>
      <c r="I64" s="351">
        <f t="shared" si="18"/>
        <v>0</v>
      </c>
      <c r="J64" s="477">
        <f t="shared" si="18"/>
        <v>0</v>
      </c>
      <c r="K64" s="351">
        <f t="shared" si="18"/>
        <v>0</v>
      </c>
      <c r="L64" s="477">
        <f t="shared" si="18"/>
        <v>0</v>
      </c>
      <c r="M64" s="351">
        <f t="shared" si="18"/>
        <v>0</v>
      </c>
    </row>
    <row r="65" spans="1:13" x14ac:dyDescent="0.25">
      <c r="A65" s="83" t="s">
        <v>172</v>
      </c>
      <c r="B65" s="581"/>
      <c r="C65" s="17"/>
      <c r="D65" s="20">
        <f>Tar_1st!D43</f>
        <v>0</v>
      </c>
      <c r="E65" s="627">
        <f>Tar_1st!E43</f>
        <v>0</v>
      </c>
      <c r="F65" s="30"/>
      <c r="G65" s="384"/>
      <c r="H65" s="30">
        <f>Tar_1st!H43</f>
        <v>0</v>
      </c>
      <c r="I65" s="624">
        <f>Tar_1st!I43</f>
        <v>0</v>
      </c>
      <c r="J65" s="30"/>
      <c r="K65" s="384"/>
      <c r="L65" s="30">
        <f>Tar_1st!L43</f>
        <v>0</v>
      </c>
      <c r="M65" s="624">
        <f>Tar_1st!M43</f>
        <v>0</v>
      </c>
    </row>
    <row r="66" spans="1:13" x14ac:dyDescent="0.25">
      <c r="A66" s="83" t="s">
        <v>173</v>
      </c>
      <c r="B66" s="581"/>
      <c r="C66" s="17"/>
      <c r="D66" s="20">
        <f>Tar_1st!D44</f>
        <v>0</v>
      </c>
      <c r="E66" s="627">
        <f>Tar_1st!E44</f>
        <v>0</v>
      </c>
      <c r="F66" s="30"/>
      <c r="G66" s="384"/>
      <c r="H66" s="30">
        <f>Tar_1st!H44</f>
        <v>0</v>
      </c>
      <c r="I66" s="624">
        <f>Tar_1st!I44</f>
        <v>0</v>
      </c>
      <c r="J66" s="30"/>
      <c r="K66" s="384"/>
      <c r="L66" s="30">
        <f>Tar_1st!L44</f>
        <v>0</v>
      </c>
      <c r="M66" s="624">
        <f>Tar_1st!M44</f>
        <v>0</v>
      </c>
    </row>
    <row r="67" spans="1:13" x14ac:dyDescent="0.25">
      <c r="A67" s="83" t="s">
        <v>174</v>
      </c>
      <c r="B67" s="581"/>
      <c r="C67" s="17"/>
      <c r="D67" s="20">
        <f>Tar_1st!D45</f>
        <v>0</v>
      </c>
      <c r="E67" s="627">
        <f>Tar_1st!E45</f>
        <v>0</v>
      </c>
      <c r="F67" s="30"/>
      <c r="G67" s="384"/>
      <c r="H67" s="30">
        <f>Tar_1st!H45</f>
        <v>0</v>
      </c>
      <c r="I67" s="624">
        <f>Tar_1st!I45</f>
        <v>0</v>
      </c>
      <c r="J67" s="30"/>
      <c r="K67" s="384"/>
      <c r="L67" s="30">
        <f>Tar_1st!L45</f>
        <v>0</v>
      </c>
      <c r="M67" s="624">
        <f>Tar_1st!M45</f>
        <v>0</v>
      </c>
    </row>
    <row r="68" spans="1:13" x14ac:dyDescent="0.25">
      <c r="A68" s="83" t="s">
        <v>175</v>
      </c>
      <c r="B68" s="581"/>
      <c r="C68" s="17"/>
      <c r="D68" s="20">
        <f>Tar_1st!D46</f>
        <v>0</v>
      </c>
      <c r="E68" s="627">
        <f>Tar_1st!E46</f>
        <v>0</v>
      </c>
      <c r="F68" s="30"/>
      <c r="G68" s="384"/>
      <c r="H68" s="30">
        <f>Tar_1st!H46</f>
        <v>0</v>
      </c>
      <c r="I68" s="624">
        <f>Tar_1st!I46</f>
        <v>0</v>
      </c>
      <c r="J68" s="30"/>
      <c r="K68" s="384"/>
      <c r="L68" s="30">
        <f>Tar_1st!L46</f>
        <v>0</v>
      </c>
      <c r="M68" s="624">
        <f>Tar_1st!M46</f>
        <v>0</v>
      </c>
    </row>
    <row r="69" spans="1:13" x14ac:dyDescent="0.25">
      <c r="A69" s="83" t="s">
        <v>176</v>
      </c>
      <c r="B69" s="581"/>
      <c r="C69" s="17"/>
      <c r="D69" s="20">
        <f>Tar_1st!D47</f>
        <v>0</v>
      </c>
      <c r="E69" s="627">
        <f>Tar_1st!E47</f>
        <v>0</v>
      </c>
      <c r="F69" s="30"/>
      <c r="G69" s="384"/>
      <c r="H69" s="30">
        <f>Tar_1st!H47</f>
        <v>0</v>
      </c>
      <c r="I69" s="624">
        <f>Tar_1st!I47</f>
        <v>0</v>
      </c>
      <c r="J69" s="30"/>
      <c r="K69" s="384"/>
      <c r="L69" s="30">
        <f>Tar_1st!L47</f>
        <v>0</v>
      </c>
      <c r="M69" s="624">
        <f>Tar_1st!M47</f>
        <v>0</v>
      </c>
    </row>
    <row r="70" spans="1:13" x14ac:dyDescent="0.25">
      <c r="A70" s="83" t="s">
        <v>177</v>
      </c>
      <c r="B70" s="581"/>
      <c r="C70" s="17"/>
      <c r="D70" s="20">
        <f>Tar_1st!D48</f>
        <v>0</v>
      </c>
      <c r="E70" s="627">
        <f>Tar_1st!E48</f>
        <v>0</v>
      </c>
      <c r="F70" s="30"/>
      <c r="G70" s="384"/>
      <c r="H70" s="30">
        <f>Tar_1st!H48</f>
        <v>0</v>
      </c>
      <c r="I70" s="624">
        <f>Tar_1st!I48</f>
        <v>0</v>
      </c>
      <c r="J70" s="30"/>
      <c r="K70" s="384"/>
      <c r="L70" s="30">
        <f>Tar_1st!L48</f>
        <v>0</v>
      </c>
      <c r="M70" s="624">
        <f>Tar_1st!M48</f>
        <v>0</v>
      </c>
    </row>
    <row r="71" spans="1:13" x14ac:dyDescent="0.25">
      <c r="A71" s="83" t="s">
        <v>178</v>
      </c>
      <c r="B71" s="581"/>
      <c r="C71" s="17"/>
      <c r="D71" s="20">
        <f>Tar_1st!D49</f>
        <v>2</v>
      </c>
      <c r="E71" s="627">
        <f>Tar_1st!E49</f>
        <v>1200</v>
      </c>
      <c r="F71" s="30"/>
      <c r="G71" s="384"/>
      <c r="H71" s="30">
        <f>Tar_1st!H49</f>
        <v>0</v>
      </c>
      <c r="I71" s="624">
        <f>Tar_1st!I49</f>
        <v>0</v>
      </c>
      <c r="J71" s="30"/>
      <c r="K71" s="384"/>
      <c r="L71" s="30">
        <f>Tar_1st!L49</f>
        <v>0</v>
      </c>
      <c r="M71" s="624">
        <f>Tar_1st!M49</f>
        <v>0</v>
      </c>
    </row>
    <row r="72" spans="1:13" x14ac:dyDescent="0.25">
      <c r="A72" s="83" t="s">
        <v>179</v>
      </c>
      <c r="B72" s="581"/>
      <c r="C72" s="17"/>
      <c r="D72" s="20">
        <f>Tar_1st!D50</f>
        <v>0</v>
      </c>
      <c r="E72" s="627">
        <f>Tar_1st!E50</f>
        <v>0</v>
      </c>
      <c r="F72" s="30"/>
      <c r="G72" s="384"/>
      <c r="H72" s="30">
        <f>Tar_1st!H50</f>
        <v>0</v>
      </c>
      <c r="I72" s="624">
        <f>Tar_1st!I50</f>
        <v>0</v>
      </c>
      <c r="J72" s="30"/>
      <c r="K72" s="384"/>
      <c r="L72" s="30">
        <f>Tar_1st!L50</f>
        <v>0</v>
      </c>
      <c r="M72" s="624">
        <f>Tar_1st!M50</f>
        <v>0</v>
      </c>
    </row>
    <row r="73" spans="1:13" x14ac:dyDescent="0.25">
      <c r="A73" s="83" t="s">
        <v>180</v>
      </c>
      <c r="B73" s="581"/>
      <c r="C73" s="17"/>
      <c r="D73" s="20">
        <f>Tar_1st!D51</f>
        <v>0</v>
      </c>
      <c r="E73" s="627">
        <f>Tar_1st!E51</f>
        <v>0</v>
      </c>
      <c r="F73" s="30"/>
      <c r="G73" s="384"/>
      <c r="H73" s="30">
        <f>Tar_1st!H51</f>
        <v>0</v>
      </c>
      <c r="I73" s="624">
        <f>Tar_1st!I51</f>
        <v>0</v>
      </c>
      <c r="J73" s="30"/>
      <c r="K73" s="384"/>
      <c r="L73" s="30">
        <f>Tar_1st!L51</f>
        <v>0</v>
      </c>
      <c r="M73" s="624">
        <f>Tar_1st!M51</f>
        <v>0</v>
      </c>
    </row>
    <row r="74" spans="1:13" x14ac:dyDescent="0.25">
      <c r="A74" s="83" t="s">
        <v>181</v>
      </c>
      <c r="B74" s="581"/>
      <c r="C74" s="17"/>
      <c r="D74" s="20">
        <f>Tar_1st!D52</f>
        <v>0</v>
      </c>
      <c r="E74" s="627">
        <f>Tar_1st!E52</f>
        <v>0</v>
      </c>
      <c r="F74" s="30"/>
      <c r="G74" s="384"/>
      <c r="H74" s="30">
        <f>Tar_1st!H52</f>
        <v>0</v>
      </c>
      <c r="I74" s="624">
        <f>Tar_1st!I52</f>
        <v>0</v>
      </c>
      <c r="J74" s="30"/>
      <c r="K74" s="384"/>
      <c r="L74" s="30">
        <f>Tar_1st!L52</f>
        <v>0</v>
      </c>
      <c r="M74" s="624">
        <f>Tar_1st!M52</f>
        <v>0</v>
      </c>
    </row>
    <row r="75" spans="1:13" x14ac:dyDescent="0.25">
      <c r="A75" s="349" t="s">
        <v>81</v>
      </c>
      <c r="B75" s="477">
        <f>SUM(B76:B79)</f>
        <v>0</v>
      </c>
      <c r="C75" s="585">
        <f>SUM(C76:C79)</f>
        <v>0</v>
      </c>
      <c r="D75" s="477">
        <f t="shared" ref="D75:M75" si="19">SUM(D76:D79)</f>
        <v>1</v>
      </c>
      <c r="E75" s="585">
        <f t="shared" si="19"/>
        <v>500</v>
      </c>
      <c r="F75" s="477">
        <f t="shared" si="19"/>
        <v>0</v>
      </c>
      <c r="G75" s="585">
        <f t="shared" si="19"/>
        <v>0</v>
      </c>
      <c r="H75" s="477">
        <f t="shared" si="19"/>
        <v>0</v>
      </c>
      <c r="I75" s="585">
        <f t="shared" si="19"/>
        <v>0</v>
      </c>
      <c r="J75" s="477">
        <f t="shared" si="19"/>
        <v>0</v>
      </c>
      <c r="K75" s="585">
        <f t="shared" si="19"/>
        <v>0</v>
      </c>
      <c r="L75" s="477">
        <f t="shared" si="19"/>
        <v>0</v>
      </c>
      <c r="M75" s="585">
        <f t="shared" si="19"/>
        <v>0</v>
      </c>
    </row>
    <row r="76" spans="1:13" x14ac:dyDescent="0.25">
      <c r="A76" s="83" t="s">
        <v>182</v>
      </c>
      <c r="B76" s="581"/>
      <c r="C76" s="17"/>
      <c r="D76" s="20">
        <f>Tar_2nd!D31</f>
        <v>1</v>
      </c>
      <c r="E76" s="627">
        <f>Tar_2nd!E31</f>
        <v>500</v>
      </c>
      <c r="F76" s="30"/>
      <c r="G76" s="384"/>
      <c r="H76" s="30">
        <f>Tar_2nd!H31</f>
        <v>0</v>
      </c>
      <c r="I76" s="624">
        <f>Tar_2nd!I31</f>
        <v>0</v>
      </c>
      <c r="J76" s="275"/>
      <c r="K76" s="344"/>
      <c r="L76" s="275"/>
      <c r="M76" s="344"/>
    </row>
    <row r="77" spans="1:13" x14ac:dyDescent="0.25">
      <c r="A77" s="83" t="s">
        <v>183</v>
      </c>
      <c r="B77" s="581"/>
      <c r="C77" s="17"/>
      <c r="D77" s="20">
        <f>Tar_2nd!D32</f>
        <v>0</v>
      </c>
      <c r="E77" s="627">
        <f>Tar_2nd!E32</f>
        <v>0</v>
      </c>
      <c r="F77" s="30"/>
      <c r="G77" s="384"/>
      <c r="H77" s="30">
        <f>Tar_2nd!H32</f>
        <v>0</v>
      </c>
      <c r="I77" s="624">
        <f>Tar_2nd!I32</f>
        <v>0</v>
      </c>
      <c r="J77" s="275"/>
      <c r="K77" s="344"/>
      <c r="L77" s="275"/>
      <c r="M77" s="344"/>
    </row>
    <row r="78" spans="1:13" x14ac:dyDescent="0.25">
      <c r="A78" s="83" t="s">
        <v>184</v>
      </c>
      <c r="B78" s="581"/>
      <c r="C78" s="17"/>
      <c r="D78" s="20">
        <f>Tar_2nd!D33</f>
        <v>0</v>
      </c>
      <c r="E78" s="627">
        <f>Tar_2nd!E33</f>
        <v>0</v>
      </c>
      <c r="F78" s="30"/>
      <c r="G78" s="384"/>
      <c r="H78" s="30">
        <f>Tar_2nd!H33</f>
        <v>0</v>
      </c>
      <c r="I78" s="624">
        <f>Tar_2nd!I33</f>
        <v>0</v>
      </c>
      <c r="J78" s="275"/>
      <c r="K78" s="344"/>
      <c r="L78" s="275"/>
      <c r="M78" s="344"/>
    </row>
    <row r="79" spans="1:13" x14ac:dyDescent="0.25">
      <c r="A79" s="83" t="s">
        <v>185</v>
      </c>
      <c r="B79" s="581"/>
      <c r="C79" s="17"/>
      <c r="D79" s="20">
        <f>Tar_2nd!D34</f>
        <v>0</v>
      </c>
      <c r="E79" s="627">
        <f>Tar_2nd!E34</f>
        <v>0</v>
      </c>
      <c r="F79" s="30"/>
      <c r="G79" s="384"/>
      <c r="H79" s="30">
        <f>Tar_2nd!H34</f>
        <v>0</v>
      </c>
      <c r="I79" s="624">
        <f>Tar_2nd!I34</f>
        <v>0</v>
      </c>
      <c r="J79" s="275"/>
      <c r="K79" s="344"/>
      <c r="L79" s="275"/>
      <c r="M79" s="344"/>
    </row>
    <row r="80" spans="1:13" x14ac:dyDescent="0.25">
      <c r="A80" s="349" t="s">
        <v>81</v>
      </c>
      <c r="B80" s="477">
        <f t="shared" ref="B80:M80" si="20">SUM(B81:B84)</f>
        <v>0</v>
      </c>
      <c r="C80" s="351">
        <f t="shared" si="20"/>
        <v>0</v>
      </c>
      <c r="D80" s="477">
        <f t="shared" si="20"/>
        <v>0</v>
      </c>
      <c r="E80" s="351">
        <f t="shared" si="20"/>
        <v>0</v>
      </c>
      <c r="F80" s="477">
        <f t="shared" si="20"/>
        <v>0</v>
      </c>
      <c r="G80" s="351">
        <f t="shared" si="20"/>
        <v>0</v>
      </c>
      <c r="H80" s="477">
        <f t="shared" si="20"/>
        <v>0</v>
      </c>
      <c r="I80" s="351">
        <f t="shared" si="20"/>
        <v>0</v>
      </c>
      <c r="J80" s="477">
        <f t="shared" si="20"/>
        <v>0</v>
      </c>
      <c r="K80" s="351">
        <f t="shared" si="20"/>
        <v>0</v>
      </c>
      <c r="L80" s="477">
        <f t="shared" si="20"/>
        <v>0</v>
      </c>
      <c r="M80" s="351">
        <f t="shared" si="20"/>
        <v>0</v>
      </c>
    </row>
    <row r="81" spans="1:13" x14ac:dyDescent="0.25">
      <c r="A81" s="83" t="s">
        <v>186</v>
      </c>
      <c r="B81" s="581"/>
      <c r="C81" s="17"/>
      <c r="D81" s="20">
        <f>Tar_3rd!D31</f>
        <v>0</v>
      </c>
      <c r="E81" s="627">
        <f>Tar_3rd!E31</f>
        <v>0</v>
      </c>
      <c r="F81" s="30"/>
      <c r="G81" s="384"/>
      <c r="H81" s="20">
        <f>Tar_3rd!H31</f>
        <v>0</v>
      </c>
      <c r="I81" s="627">
        <f>Tar_3rd!I31</f>
        <v>0</v>
      </c>
      <c r="J81" s="30"/>
      <c r="K81" s="384"/>
      <c r="L81" s="20">
        <f>Tar_3rd!L31</f>
        <v>0</v>
      </c>
      <c r="M81" s="627">
        <f>Tar_3rd!M31</f>
        <v>0</v>
      </c>
    </row>
    <row r="82" spans="1:13" x14ac:dyDescent="0.25">
      <c r="A82" s="83" t="s">
        <v>187</v>
      </c>
      <c r="B82" s="581"/>
      <c r="C82" s="17"/>
      <c r="D82" s="20">
        <f>Tar_3rd!D32</f>
        <v>0</v>
      </c>
      <c r="E82" s="627">
        <f>Tar_3rd!E32</f>
        <v>0</v>
      </c>
      <c r="F82" s="30"/>
      <c r="G82" s="384"/>
      <c r="H82" s="20">
        <f>Tar_3rd!H32</f>
        <v>0</v>
      </c>
      <c r="I82" s="627">
        <f>Tar_3rd!I32</f>
        <v>0</v>
      </c>
      <c r="J82" s="30"/>
      <c r="K82" s="384"/>
      <c r="L82" s="20">
        <f>Tar_3rd!L32</f>
        <v>0</v>
      </c>
      <c r="M82" s="627">
        <f>Tar_3rd!M32</f>
        <v>0</v>
      </c>
    </row>
    <row r="83" spans="1:13" x14ac:dyDescent="0.25">
      <c r="A83" s="83" t="s">
        <v>188</v>
      </c>
      <c r="B83" s="581"/>
      <c r="C83" s="17"/>
      <c r="D83" s="20">
        <f>Tar_3rd!D33</f>
        <v>0</v>
      </c>
      <c r="E83" s="627">
        <f>Tar_3rd!E33</f>
        <v>0</v>
      </c>
      <c r="F83" s="30"/>
      <c r="G83" s="384"/>
      <c r="H83" s="20">
        <f>Tar_3rd!H33</f>
        <v>0</v>
      </c>
      <c r="I83" s="627">
        <f>Tar_3rd!I33</f>
        <v>0</v>
      </c>
      <c r="J83" s="30"/>
      <c r="K83" s="384"/>
      <c r="L83" s="20">
        <f>Tar_3rd!L33</f>
        <v>0</v>
      </c>
      <c r="M83" s="627">
        <f>Tar_3rd!M33</f>
        <v>0</v>
      </c>
    </row>
    <row r="84" spans="1:13" x14ac:dyDescent="0.25">
      <c r="A84" s="83" t="s">
        <v>189</v>
      </c>
      <c r="B84" s="581"/>
      <c r="C84" s="17"/>
      <c r="D84" s="20">
        <f>Tar_3rd!D34</f>
        <v>0</v>
      </c>
      <c r="E84" s="627">
        <f>Tar_3rd!E34</f>
        <v>0</v>
      </c>
      <c r="F84" s="30"/>
      <c r="G84" s="384"/>
      <c r="H84" s="20">
        <f>Tar_3rd!H34</f>
        <v>0</v>
      </c>
      <c r="I84" s="627">
        <f>Tar_3rd!I34</f>
        <v>0</v>
      </c>
      <c r="J84" s="30"/>
      <c r="K84" s="384"/>
      <c r="L84" s="20">
        <f>Tar_3rd!L34</f>
        <v>0</v>
      </c>
      <c r="M84" s="627">
        <f>Tar_3rd!M34</f>
        <v>0</v>
      </c>
    </row>
    <row r="86" spans="1:13" x14ac:dyDescent="0.25">
      <c r="A86" s="906" t="s">
        <v>3</v>
      </c>
      <c r="B86" s="913" t="s">
        <v>418</v>
      </c>
      <c r="C86" s="914"/>
      <c r="D86" s="914"/>
      <c r="E86" s="915"/>
      <c r="F86" s="913" t="s">
        <v>81</v>
      </c>
      <c r="G86" s="914"/>
      <c r="H86" s="914"/>
      <c r="I86" s="915"/>
    </row>
    <row r="87" spans="1:13" ht="14.45" customHeight="1" x14ac:dyDescent="0.25">
      <c r="A87" s="906"/>
      <c r="B87" s="899" t="s">
        <v>327</v>
      </c>
      <c r="C87" s="899"/>
      <c r="D87" s="900" t="s">
        <v>333</v>
      </c>
      <c r="E87" s="901"/>
      <c r="F87" s="907" t="s">
        <v>60</v>
      </c>
      <c r="G87" s="908"/>
      <c r="H87" s="907" t="s">
        <v>305</v>
      </c>
      <c r="I87" s="908"/>
    </row>
    <row r="88" spans="1:13" ht="30" x14ac:dyDescent="0.25">
      <c r="A88" s="906"/>
      <c r="B88" s="634" t="s">
        <v>308</v>
      </c>
      <c r="C88" s="633" t="s">
        <v>60</v>
      </c>
      <c r="D88" s="634" t="s">
        <v>253</v>
      </c>
      <c r="E88" s="17" t="s">
        <v>305</v>
      </c>
      <c r="F88" s="909"/>
      <c r="G88" s="910"/>
      <c r="H88" s="909"/>
      <c r="I88" s="910"/>
    </row>
    <row r="89" spans="1:13" x14ac:dyDescent="0.25">
      <c r="A89" s="610" t="s">
        <v>14</v>
      </c>
      <c r="B89" s="477">
        <f>B90+B101+B106</f>
        <v>0</v>
      </c>
      <c r="C89" s="477">
        <f t="shared" ref="C89:E89" si="21">C90+C101+C106</f>
        <v>0</v>
      </c>
      <c r="D89" s="477">
        <f t="shared" si="21"/>
        <v>0</v>
      </c>
      <c r="E89" s="636">
        <f t="shared" si="21"/>
        <v>0</v>
      </c>
      <c r="F89" s="1043">
        <f>F90+F101+F106</f>
        <v>755575861</v>
      </c>
      <c r="G89" s="1044"/>
      <c r="H89" s="1043">
        <f>H90+H101+H106</f>
        <v>530103707</v>
      </c>
      <c r="I89" s="1044"/>
    </row>
    <row r="90" spans="1:13" s="48" customFormat="1" x14ac:dyDescent="0.25">
      <c r="A90" s="349" t="s">
        <v>81</v>
      </c>
      <c r="B90" s="477">
        <f t="shared" ref="B90:E90" si="22">SUM(B91:B100)</f>
        <v>0</v>
      </c>
      <c r="C90" s="351">
        <f t="shared" si="22"/>
        <v>0</v>
      </c>
      <c r="D90" s="477">
        <f t="shared" si="22"/>
        <v>0</v>
      </c>
      <c r="E90" s="351">
        <f t="shared" si="22"/>
        <v>0</v>
      </c>
      <c r="F90" s="1045">
        <f>SUM(F91:G100)</f>
        <v>254852301</v>
      </c>
      <c r="G90" s="1046"/>
      <c r="H90" s="1045">
        <f>SUM(H91:I100)</f>
        <v>182327453</v>
      </c>
      <c r="I90" s="1046"/>
      <c r="K90" s="91"/>
      <c r="M90" s="91"/>
    </row>
    <row r="91" spans="1:13" x14ac:dyDescent="0.25">
      <c r="A91" s="83" t="s">
        <v>172</v>
      </c>
      <c r="B91" s="275"/>
      <c r="C91" s="344"/>
      <c r="D91" s="344"/>
      <c r="E91" s="344"/>
      <c r="F91" s="902">
        <f>C13+G13+K13+C39+G39+K39+C65+G65+K65+C91</f>
        <v>10113000</v>
      </c>
      <c r="G91" s="903"/>
      <c r="H91" s="902">
        <f>E13+I13+M13+E39+I39+M39+E65+I65+M65+E91</f>
        <v>7292900</v>
      </c>
      <c r="I91" s="903"/>
    </row>
    <row r="92" spans="1:13" x14ac:dyDescent="0.25">
      <c r="A92" s="83" t="s">
        <v>173</v>
      </c>
      <c r="B92" s="275"/>
      <c r="C92" s="344"/>
      <c r="D92" s="344"/>
      <c r="E92" s="344"/>
      <c r="F92" s="902">
        <f t="shared" ref="F92:F100" si="23">C14+G14+K14+C40+G40+K40+C66+G66+K66+C92</f>
        <v>33497000</v>
      </c>
      <c r="G92" s="903"/>
      <c r="H92" s="902">
        <f t="shared" ref="H92:H100" si="24">E14+I14+M14+E40+I40+M40+E66+I66+M66+E92</f>
        <v>25787752</v>
      </c>
      <c r="I92" s="903"/>
    </row>
    <row r="93" spans="1:13" x14ac:dyDescent="0.25">
      <c r="A93" s="83" t="s">
        <v>174</v>
      </c>
      <c r="B93" s="275"/>
      <c r="C93" s="344"/>
      <c r="D93" s="614">
        <f>Tar_1st!D60</f>
        <v>0</v>
      </c>
      <c r="E93" s="344">
        <f>Tar_1st!E60</f>
        <v>0</v>
      </c>
      <c r="F93" s="902">
        <f t="shared" si="23"/>
        <v>30962000</v>
      </c>
      <c r="G93" s="903"/>
      <c r="H93" s="902">
        <f t="shared" si="24"/>
        <v>19690600</v>
      </c>
      <c r="I93" s="903"/>
    </row>
    <row r="94" spans="1:13" x14ac:dyDescent="0.25">
      <c r="A94" s="83" t="s">
        <v>175</v>
      </c>
      <c r="B94" s="275"/>
      <c r="C94" s="344"/>
      <c r="D94" s="344"/>
      <c r="E94" s="344"/>
      <c r="F94" s="902">
        <f t="shared" si="23"/>
        <v>41983000</v>
      </c>
      <c r="G94" s="903"/>
      <c r="H94" s="902">
        <f t="shared" si="24"/>
        <v>28639235</v>
      </c>
      <c r="I94" s="903"/>
    </row>
    <row r="95" spans="1:13" x14ac:dyDescent="0.25">
      <c r="A95" s="83" t="s">
        <v>176</v>
      </c>
      <c r="B95" s="275"/>
      <c r="C95" s="344"/>
      <c r="D95" s="344"/>
      <c r="E95" s="344"/>
      <c r="F95" s="902">
        <f t="shared" si="23"/>
        <v>46183301</v>
      </c>
      <c r="G95" s="903"/>
      <c r="H95" s="902">
        <f t="shared" si="24"/>
        <v>31029072</v>
      </c>
      <c r="I95" s="903"/>
    </row>
    <row r="96" spans="1:13" x14ac:dyDescent="0.25">
      <c r="A96" s="83" t="s">
        <v>177</v>
      </c>
      <c r="B96" s="275"/>
      <c r="C96" s="344"/>
      <c r="D96" s="344"/>
      <c r="E96" s="344"/>
      <c r="F96" s="902">
        <f t="shared" si="23"/>
        <v>14006000</v>
      </c>
      <c r="G96" s="903"/>
      <c r="H96" s="902">
        <f t="shared" si="24"/>
        <v>10174576</v>
      </c>
      <c r="I96" s="903"/>
    </row>
    <row r="97" spans="1:13" x14ac:dyDescent="0.25">
      <c r="A97" s="83" t="s">
        <v>178</v>
      </c>
      <c r="B97" s="275"/>
      <c r="C97" s="344"/>
      <c r="D97" s="344"/>
      <c r="E97" s="344"/>
      <c r="F97" s="902">
        <f t="shared" si="23"/>
        <v>20675000</v>
      </c>
      <c r="G97" s="903"/>
      <c r="H97" s="902">
        <f t="shared" si="24"/>
        <v>14951940</v>
      </c>
      <c r="I97" s="903"/>
    </row>
    <row r="98" spans="1:13" x14ac:dyDescent="0.25">
      <c r="A98" s="83" t="s">
        <v>179</v>
      </c>
      <c r="B98" s="275"/>
      <c r="C98" s="344"/>
      <c r="D98" s="344"/>
      <c r="E98" s="344"/>
      <c r="F98" s="902">
        <f t="shared" si="23"/>
        <v>10946000</v>
      </c>
      <c r="G98" s="903"/>
      <c r="H98" s="902">
        <f t="shared" si="24"/>
        <v>8352708</v>
      </c>
      <c r="I98" s="903"/>
    </row>
    <row r="99" spans="1:13" x14ac:dyDescent="0.25">
      <c r="A99" s="83" t="s">
        <v>180</v>
      </c>
      <c r="B99" s="275"/>
      <c r="C99" s="344"/>
      <c r="D99" s="344"/>
      <c r="E99" s="344"/>
      <c r="F99" s="902">
        <f t="shared" si="23"/>
        <v>17565000</v>
      </c>
      <c r="G99" s="903"/>
      <c r="H99" s="902">
        <f t="shared" si="24"/>
        <v>16160260</v>
      </c>
      <c r="I99" s="903"/>
    </row>
    <row r="100" spans="1:13" x14ac:dyDescent="0.25">
      <c r="A100" s="83" t="s">
        <v>181</v>
      </c>
      <c r="B100" s="275"/>
      <c r="C100" s="344"/>
      <c r="D100" s="344"/>
      <c r="E100" s="344"/>
      <c r="F100" s="902">
        <f t="shared" si="23"/>
        <v>28922000</v>
      </c>
      <c r="G100" s="903"/>
      <c r="H100" s="902">
        <f t="shared" si="24"/>
        <v>20248410</v>
      </c>
      <c r="I100" s="903"/>
    </row>
    <row r="101" spans="1:13" s="48" customFormat="1" x14ac:dyDescent="0.25">
      <c r="A101" s="349" t="s">
        <v>81</v>
      </c>
      <c r="B101" s="477">
        <f t="shared" ref="B101:E101" si="25">SUM(B102:B105)</f>
        <v>0</v>
      </c>
      <c r="C101" s="636">
        <f t="shared" si="25"/>
        <v>0</v>
      </c>
      <c r="D101" s="477">
        <f t="shared" si="25"/>
        <v>0</v>
      </c>
      <c r="E101" s="636">
        <f t="shared" si="25"/>
        <v>0</v>
      </c>
      <c r="F101" s="1045">
        <f>SUM(F102:G105)</f>
        <v>291854000</v>
      </c>
      <c r="G101" s="1046"/>
      <c r="H101" s="1045">
        <f>SUM(H102:I105)</f>
        <v>187666040</v>
      </c>
      <c r="I101" s="1046"/>
      <c r="K101" s="91"/>
      <c r="M101" s="91"/>
    </row>
    <row r="102" spans="1:13" x14ac:dyDescent="0.25">
      <c r="A102" s="83" t="s">
        <v>182</v>
      </c>
      <c r="B102" s="275"/>
      <c r="C102" s="344"/>
      <c r="D102" s="344"/>
      <c r="E102" s="344"/>
      <c r="F102" s="902">
        <f t="shared" ref="F102:F105" si="26">C24+G24+K24+C50+G50+K50+C76+G76+K76+C102</f>
        <v>59658000</v>
      </c>
      <c r="G102" s="903"/>
      <c r="H102" s="902">
        <f t="shared" ref="H102:H105" si="27">E24+I24+M24+E50+I50+M50+E76+I76+M76+E102</f>
        <v>40185360</v>
      </c>
      <c r="I102" s="903"/>
    </row>
    <row r="103" spans="1:13" x14ac:dyDescent="0.25">
      <c r="A103" s="83" t="s">
        <v>183</v>
      </c>
      <c r="B103" s="275"/>
      <c r="C103" s="344"/>
      <c r="D103" s="344"/>
      <c r="E103" s="344"/>
      <c r="F103" s="902">
        <f t="shared" si="26"/>
        <v>45780000</v>
      </c>
      <c r="G103" s="903"/>
      <c r="H103" s="902">
        <f t="shared" si="27"/>
        <v>33482280</v>
      </c>
      <c r="I103" s="903"/>
    </row>
    <row r="104" spans="1:13" x14ac:dyDescent="0.25">
      <c r="A104" s="83" t="s">
        <v>184</v>
      </c>
      <c r="B104" s="275"/>
      <c r="C104" s="344"/>
      <c r="D104" s="344"/>
      <c r="E104" s="344"/>
      <c r="F104" s="902">
        <f t="shared" si="26"/>
        <v>148314000</v>
      </c>
      <c r="G104" s="903"/>
      <c r="H104" s="902">
        <f t="shared" si="27"/>
        <v>88755600</v>
      </c>
      <c r="I104" s="903"/>
    </row>
    <row r="105" spans="1:13" x14ac:dyDescent="0.25">
      <c r="A105" s="83" t="s">
        <v>185</v>
      </c>
      <c r="B105" s="275"/>
      <c r="C105" s="344"/>
      <c r="D105" s="344"/>
      <c r="E105" s="344"/>
      <c r="F105" s="902">
        <f t="shared" si="26"/>
        <v>38102000</v>
      </c>
      <c r="G105" s="903"/>
      <c r="H105" s="902">
        <f t="shared" si="27"/>
        <v>25242800</v>
      </c>
      <c r="I105" s="903"/>
    </row>
    <row r="106" spans="1:13" s="48" customFormat="1" x14ac:dyDescent="0.25">
      <c r="A106" s="349" t="s">
        <v>81</v>
      </c>
      <c r="B106" s="477">
        <f t="shared" ref="B106:E106" si="28">SUM(B107:B110)</f>
        <v>0</v>
      </c>
      <c r="C106" s="351">
        <f t="shared" si="28"/>
        <v>0</v>
      </c>
      <c r="D106" s="477">
        <f t="shared" si="28"/>
        <v>0</v>
      </c>
      <c r="E106" s="351">
        <f t="shared" si="28"/>
        <v>0</v>
      </c>
      <c r="F106" s="1045">
        <f>SUM(F107:G110)</f>
        <v>208869560</v>
      </c>
      <c r="G106" s="1046"/>
      <c r="H106" s="1045">
        <f>SUM(H107:I110)</f>
        <v>160110214</v>
      </c>
      <c r="I106" s="1046"/>
      <c r="K106" s="91"/>
      <c r="M106" s="91"/>
    </row>
    <row r="107" spans="1:13" x14ac:dyDescent="0.25">
      <c r="A107" s="83" t="s">
        <v>186</v>
      </c>
      <c r="B107" s="275"/>
      <c r="C107" s="344"/>
      <c r="D107" s="344"/>
      <c r="E107" s="344"/>
      <c r="F107" s="902">
        <f t="shared" ref="F107:F110" si="29">C29+G29+K29+C55+G55+K55+C81+G81+K81+C107</f>
        <v>22353000</v>
      </c>
      <c r="G107" s="903"/>
      <c r="H107" s="902">
        <f t="shared" ref="H107:H110" si="30">E29+I29+M29+E55+I55+M55+E81+I81+M81+E107</f>
        <v>18557240</v>
      </c>
      <c r="I107" s="903"/>
    </row>
    <row r="108" spans="1:13" x14ac:dyDescent="0.25">
      <c r="A108" s="83" t="s">
        <v>187</v>
      </c>
      <c r="B108" s="275"/>
      <c r="C108" s="344"/>
      <c r="D108" s="344"/>
      <c r="E108" s="344"/>
      <c r="F108" s="902">
        <f t="shared" si="29"/>
        <v>66756560</v>
      </c>
      <c r="G108" s="903"/>
      <c r="H108" s="902">
        <f t="shared" si="30"/>
        <v>48351840</v>
      </c>
      <c r="I108" s="903"/>
    </row>
    <row r="109" spans="1:13" x14ac:dyDescent="0.25">
      <c r="A109" s="83" t="s">
        <v>188</v>
      </c>
      <c r="B109" s="275"/>
      <c r="C109" s="344"/>
      <c r="D109" s="344"/>
      <c r="E109" s="344"/>
      <c r="F109" s="902">
        <f t="shared" si="29"/>
        <v>76838000</v>
      </c>
      <c r="G109" s="903"/>
      <c r="H109" s="902">
        <f t="shared" si="30"/>
        <v>60764977</v>
      </c>
      <c r="I109" s="903"/>
    </row>
    <row r="110" spans="1:13" x14ac:dyDescent="0.25">
      <c r="A110" s="83" t="s">
        <v>189</v>
      </c>
      <c r="B110" s="275"/>
      <c r="C110" s="344"/>
      <c r="D110" s="344"/>
      <c r="E110" s="344"/>
      <c r="F110" s="902">
        <f t="shared" si="29"/>
        <v>42922000</v>
      </c>
      <c r="G110" s="903"/>
      <c r="H110" s="902">
        <f t="shared" si="30"/>
        <v>32436157</v>
      </c>
      <c r="I110" s="903"/>
    </row>
  </sheetData>
  <mergeCells count="86">
    <mergeCell ref="J61:K61"/>
    <mergeCell ref="L61:M61"/>
    <mergeCell ref="A60:A62"/>
    <mergeCell ref="B60:E60"/>
    <mergeCell ref="F60:I60"/>
    <mergeCell ref="J60:M60"/>
    <mergeCell ref="B61:C61"/>
    <mergeCell ref="D61:E61"/>
    <mergeCell ref="F61:G61"/>
    <mergeCell ref="H61:I61"/>
    <mergeCell ref="F110:G110"/>
    <mergeCell ref="H110:I110"/>
    <mergeCell ref="F107:G107"/>
    <mergeCell ref="H107:I107"/>
    <mergeCell ref="F108:G108"/>
    <mergeCell ref="H108:I108"/>
    <mergeCell ref="F109:G109"/>
    <mergeCell ref="H109:I109"/>
    <mergeCell ref="F104:G104"/>
    <mergeCell ref="H104:I104"/>
    <mergeCell ref="F105:G105"/>
    <mergeCell ref="H105:I105"/>
    <mergeCell ref="F106:G106"/>
    <mergeCell ref="H106:I106"/>
    <mergeCell ref="F101:G101"/>
    <mergeCell ref="H101:I101"/>
    <mergeCell ref="F102:G102"/>
    <mergeCell ref="H102:I102"/>
    <mergeCell ref="F103:G103"/>
    <mergeCell ref="H103:I103"/>
    <mergeCell ref="F98:G98"/>
    <mergeCell ref="H98:I98"/>
    <mergeCell ref="F99:G99"/>
    <mergeCell ref="H99:I99"/>
    <mergeCell ref="F100:G100"/>
    <mergeCell ref="H100:I100"/>
    <mergeCell ref="F95:G95"/>
    <mergeCell ref="H95:I95"/>
    <mergeCell ref="F96:G96"/>
    <mergeCell ref="H96:I96"/>
    <mergeCell ref="F97:G97"/>
    <mergeCell ref="H97:I97"/>
    <mergeCell ref="F92:G92"/>
    <mergeCell ref="H92:I92"/>
    <mergeCell ref="F93:G93"/>
    <mergeCell ref="H93:I93"/>
    <mergeCell ref="F94:G94"/>
    <mergeCell ref="H94:I94"/>
    <mergeCell ref="F89:G89"/>
    <mergeCell ref="H89:I89"/>
    <mergeCell ref="F90:G90"/>
    <mergeCell ref="H90:I90"/>
    <mergeCell ref="F91:G91"/>
    <mergeCell ref="H91:I91"/>
    <mergeCell ref="A86:A88"/>
    <mergeCell ref="F86:I86"/>
    <mergeCell ref="F87:G88"/>
    <mergeCell ref="H87:I88"/>
    <mergeCell ref="D35:E35"/>
    <mergeCell ref="A34:A36"/>
    <mergeCell ref="B86:E86"/>
    <mergeCell ref="B87:C87"/>
    <mergeCell ref="D87:E87"/>
    <mergeCell ref="F35:G35"/>
    <mergeCell ref="H35:I35"/>
    <mergeCell ref="J35:K35"/>
    <mergeCell ref="L35:M35"/>
    <mergeCell ref="D9:E9"/>
    <mergeCell ref="F9:G9"/>
    <mergeCell ref="H9:I9"/>
    <mergeCell ref="J9:K9"/>
    <mergeCell ref="L9:M9"/>
    <mergeCell ref="B34:E34"/>
    <mergeCell ref="F34:I34"/>
    <mergeCell ref="J34:M34"/>
    <mergeCell ref="B35:C35"/>
    <mergeCell ref="A1:M1"/>
    <mergeCell ref="A2:M2"/>
    <mergeCell ref="A3:M3"/>
    <mergeCell ref="A5:M5"/>
    <mergeCell ref="A6:M6"/>
    <mergeCell ref="A8:A10"/>
    <mergeCell ref="B8:E8"/>
    <mergeCell ref="F8:I8"/>
    <mergeCell ref="J8:M8"/>
    <mergeCell ref="B9:C9"/>
  </mergeCells>
  <pageMargins left="0.41" right="0.15748031496063" top="0.75" bottom="0.55000000000000004" header="0.54" footer="0.31496062992126"/>
  <pageSetup paperSize="9" scale="64" orientation="landscape" r:id="rId1"/>
  <headerFooter>
    <oddFooter>&amp;LPrograms/Projects Implemented
in the Province of Tarlac&amp;CPage &amp;P of &amp;N</oddFooter>
  </headerFooter>
  <rowBreaks count="3" manualBreakCount="3">
    <brk id="33" max="12" man="1"/>
    <brk id="59" max="12" man="1"/>
    <brk id="85" max="1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7"/>
  <sheetViews>
    <sheetView view="pageBreakPreview" zoomScale="60" zoomScaleNormal="80" workbookViewId="0">
      <selection activeCell="M38" sqref="M38"/>
    </sheetView>
  </sheetViews>
  <sheetFormatPr defaultRowHeight="15" x14ac:dyDescent="0.25"/>
  <cols>
    <col min="1" max="1" width="16.28515625" customWidth="1"/>
    <col min="2" max="2" width="11.42578125" customWidth="1"/>
    <col min="3" max="3" width="21" style="97" customWidth="1"/>
    <col min="4" max="4" width="14.85546875" style="97" customWidth="1"/>
    <col min="5" max="5" width="21.140625" style="97" customWidth="1"/>
    <col min="6" max="6" width="9.5703125" customWidth="1"/>
    <col min="7" max="7" width="19.85546875" customWidth="1"/>
    <col min="8" max="8" width="17.28515625" customWidth="1"/>
    <col min="9" max="9" width="18.28515625" style="97" customWidth="1"/>
    <col min="10" max="10" width="11.5703125" customWidth="1"/>
    <col min="11" max="11" width="20.28515625" style="97" customWidth="1"/>
    <col min="12" max="12" width="11.42578125" customWidth="1"/>
    <col min="13" max="13" width="20.28515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364</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96"/>
      <c r="B7" s="496"/>
      <c r="C7" s="496"/>
      <c r="D7" s="496"/>
      <c r="E7" s="496"/>
      <c r="F7" s="496"/>
      <c r="G7" s="496"/>
      <c r="H7" s="496"/>
      <c r="I7" s="496"/>
      <c r="J7" s="496"/>
      <c r="K7" s="496"/>
      <c r="L7" s="496"/>
      <c r="M7" s="496"/>
    </row>
    <row r="8" spans="1:13" s="501" customFormat="1" ht="23.25" x14ac:dyDescent="0.35">
      <c r="A8" s="497" t="s">
        <v>362</v>
      </c>
      <c r="B8" s="502"/>
      <c r="C8" s="505"/>
      <c r="D8" s="502"/>
      <c r="E8" s="505"/>
      <c r="F8" s="502"/>
      <c r="K8" s="505"/>
    </row>
    <row r="9" spans="1:13" s="48" customFormat="1" ht="34.5" customHeight="1" x14ac:dyDescent="0.25">
      <c r="A9" s="906" t="s">
        <v>3</v>
      </c>
      <c r="B9" s="913" t="s">
        <v>5</v>
      </c>
      <c r="C9" s="914"/>
      <c r="D9" s="914"/>
      <c r="E9" s="915"/>
      <c r="F9" s="913" t="s">
        <v>7</v>
      </c>
      <c r="G9" s="914"/>
      <c r="H9" s="914"/>
      <c r="I9" s="915"/>
      <c r="J9" s="913" t="s">
        <v>306</v>
      </c>
      <c r="K9" s="914"/>
      <c r="L9" s="914"/>
      <c r="M9" s="915"/>
    </row>
    <row r="10" spans="1:13" ht="28.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94" t="s">
        <v>307</v>
      </c>
      <c r="C11" s="476" t="s">
        <v>60</v>
      </c>
      <c r="D11" s="494" t="s">
        <v>307</v>
      </c>
      <c r="E11" s="17" t="s">
        <v>305</v>
      </c>
      <c r="F11" s="494" t="s">
        <v>308</v>
      </c>
      <c r="G11" s="495" t="s">
        <v>60</v>
      </c>
      <c r="H11" s="494" t="s">
        <v>308</v>
      </c>
      <c r="I11" s="17" t="s">
        <v>305</v>
      </c>
      <c r="J11" s="494" t="s">
        <v>309</v>
      </c>
      <c r="K11" s="476" t="s">
        <v>60</v>
      </c>
      <c r="L11" s="494" t="s">
        <v>309</v>
      </c>
      <c r="M11" s="476" t="s">
        <v>305</v>
      </c>
    </row>
    <row r="12" spans="1:13" ht="18" customHeight="1" x14ac:dyDescent="0.25">
      <c r="A12" s="349" t="s">
        <v>81</v>
      </c>
      <c r="B12" s="477">
        <f t="shared" ref="B12:M12" si="0">SUM(B13:B22)</f>
        <v>12586</v>
      </c>
      <c r="C12" s="351">
        <f t="shared" si="0"/>
        <v>188790000</v>
      </c>
      <c r="D12" s="477">
        <f t="shared" si="0"/>
        <v>12388</v>
      </c>
      <c r="E12" s="646">
        <f t="shared" si="0"/>
        <v>128871700</v>
      </c>
      <c r="F12" s="477">
        <f t="shared" si="0"/>
        <v>1558</v>
      </c>
      <c r="G12" s="351">
        <f t="shared" si="0"/>
        <v>15580000</v>
      </c>
      <c r="H12" s="477">
        <f t="shared" si="0"/>
        <v>473</v>
      </c>
      <c r="I12" s="351">
        <f t="shared" si="0"/>
        <v>2435000</v>
      </c>
      <c r="J12" s="477">
        <f t="shared" si="0"/>
        <v>9200</v>
      </c>
      <c r="K12" s="351">
        <f t="shared" si="0"/>
        <v>14352000</v>
      </c>
      <c r="L12" s="350">
        <f t="shared" si="0"/>
        <v>9636</v>
      </c>
      <c r="M12" s="351">
        <f t="shared" si="0"/>
        <v>11615053</v>
      </c>
    </row>
    <row r="13" spans="1:13" ht="18" customHeight="1" x14ac:dyDescent="0.25">
      <c r="A13" s="83" t="s">
        <v>172</v>
      </c>
      <c r="B13" s="424">
        <v>405</v>
      </c>
      <c r="C13" s="442">
        <f t="shared" ref="C13:C22" si="1">B13*15000</f>
        <v>6075000</v>
      </c>
      <c r="D13" s="761">
        <v>396</v>
      </c>
      <c r="E13" s="767">
        <v>3962600</v>
      </c>
      <c r="F13" s="383"/>
      <c r="G13" s="384">
        <f>F13*10000</f>
        <v>0</v>
      </c>
      <c r="H13" s="743"/>
      <c r="I13" s="744"/>
      <c r="J13" s="729">
        <v>300</v>
      </c>
      <c r="K13" s="730">
        <f>J13*1560</f>
        <v>468000</v>
      </c>
      <c r="L13" s="345">
        <v>355</v>
      </c>
      <c r="M13" s="344">
        <v>558300</v>
      </c>
    </row>
    <row r="14" spans="1:13" ht="18" customHeight="1" x14ac:dyDescent="0.25">
      <c r="A14" s="83" t="s">
        <v>173</v>
      </c>
      <c r="B14" s="424">
        <v>1651</v>
      </c>
      <c r="C14" s="442">
        <f t="shared" si="1"/>
        <v>24765000</v>
      </c>
      <c r="D14" s="761">
        <v>1641</v>
      </c>
      <c r="E14" s="767">
        <v>17316500</v>
      </c>
      <c r="F14" s="383">
        <v>320</v>
      </c>
      <c r="G14" s="384">
        <f t="shared" ref="G14:G22" si="2">F14*10000</f>
        <v>3200000</v>
      </c>
      <c r="H14" s="743"/>
      <c r="I14" s="744"/>
      <c r="J14" s="729">
        <v>2100</v>
      </c>
      <c r="K14" s="730">
        <f t="shared" ref="K14:K22" si="3">J14*1560</f>
        <v>3276000</v>
      </c>
      <c r="L14" s="345">
        <v>2191</v>
      </c>
      <c r="M14" s="344">
        <v>3444252</v>
      </c>
    </row>
    <row r="15" spans="1:13" ht="18" customHeight="1" x14ac:dyDescent="0.25">
      <c r="A15" s="83" t="s">
        <v>174</v>
      </c>
      <c r="B15" s="424">
        <v>1604</v>
      </c>
      <c r="C15" s="442">
        <f t="shared" si="1"/>
        <v>24060000</v>
      </c>
      <c r="D15" s="761">
        <v>1572</v>
      </c>
      <c r="E15" s="767">
        <v>14649800</v>
      </c>
      <c r="F15" s="383"/>
      <c r="G15" s="384">
        <f t="shared" si="2"/>
        <v>0</v>
      </c>
      <c r="H15" s="743">
        <v>33</v>
      </c>
      <c r="I15" s="744">
        <v>165000</v>
      </c>
      <c r="J15" s="729">
        <v>800</v>
      </c>
      <c r="K15" s="730">
        <f t="shared" si="3"/>
        <v>1248000</v>
      </c>
      <c r="L15" s="345">
        <v>740</v>
      </c>
      <c r="M15" s="344">
        <v>1163300</v>
      </c>
    </row>
    <row r="16" spans="1:13" ht="18" customHeight="1" x14ac:dyDescent="0.25">
      <c r="A16" s="83" t="s">
        <v>175</v>
      </c>
      <c r="B16" s="424">
        <v>2045</v>
      </c>
      <c r="C16" s="442">
        <f t="shared" si="1"/>
        <v>30675000</v>
      </c>
      <c r="D16" s="761">
        <v>2037</v>
      </c>
      <c r="E16" s="767">
        <v>22097200</v>
      </c>
      <c r="F16" s="383">
        <v>715</v>
      </c>
      <c r="G16" s="384">
        <f t="shared" si="2"/>
        <v>7150000</v>
      </c>
      <c r="H16" s="743">
        <v>135</v>
      </c>
      <c r="I16" s="744">
        <v>675000</v>
      </c>
      <c r="J16" s="729">
        <v>1300</v>
      </c>
      <c r="K16" s="730">
        <f t="shared" si="3"/>
        <v>2028000</v>
      </c>
      <c r="L16" s="345">
        <v>1349</v>
      </c>
      <c r="M16" s="344">
        <v>964535</v>
      </c>
    </row>
    <row r="17" spans="1:13" ht="18" customHeight="1" x14ac:dyDescent="0.25">
      <c r="A17" s="83" t="s">
        <v>176</v>
      </c>
      <c r="B17" s="424">
        <v>2381</v>
      </c>
      <c r="C17" s="442">
        <f t="shared" si="1"/>
        <v>35715000</v>
      </c>
      <c r="D17" s="761">
        <v>2326</v>
      </c>
      <c r="E17" s="767">
        <v>24329600</v>
      </c>
      <c r="F17" s="383">
        <v>250</v>
      </c>
      <c r="G17" s="384">
        <f t="shared" si="2"/>
        <v>2500000</v>
      </c>
      <c r="H17" s="743">
        <v>80</v>
      </c>
      <c r="I17" s="744">
        <v>430000</v>
      </c>
      <c r="J17" s="729">
        <v>1600</v>
      </c>
      <c r="K17" s="730">
        <f t="shared" si="3"/>
        <v>2496000</v>
      </c>
      <c r="L17" s="345">
        <v>1644</v>
      </c>
      <c r="M17" s="344">
        <v>1089972</v>
      </c>
    </row>
    <row r="18" spans="1:13" ht="18" customHeight="1" x14ac:dyDescent="0.25">
      <c r="A18" s="83" t="s">
        <v>177</v>
      </c>
      <c r="B18" s="424">
        <v>674</v>
      </c>
      <c r="C18" s="442">
        <f t="shared" si="1"/>
        <v>10110000</v>
      </c>
      <c r="D18" s="761">
        <v>656</v>
      </c>
      <c r="E18" s="767">
        <v>6656800</v>
      </c>
      <c r="F18" s="383">
        <v>113</v>
      </c>
      <c r="G18" s="384">
        <f t="shared" si="2"/>
        <v>1130000</v>
      </c>
      <c r="H18" s="743"/>
      <c r="I18" s="744"/>
      <c r="J18" s="729">
        <v>550</v>
      </c>
      <c r="K18" s="730">
        <f t="shared" si="3"/>
        <v>858000</v>
      </c>
      <c r="L18" s="345">
        <v>608</v>
      </c>
      <c r="M18" s="344">
        <v>955776</v>
      </c>
    </row>
    <row r="19" spans="1:13" ht="18" customHeight="1" x14ac:dyDescent="0.25">
      <c r="A19" s="83" t="s">
        <v>178</v>
      </c>
      <c r="B19" s="424">
        <v>973</v>
      </c>
      <c r="C19" s="442">
        <f t="shared" si="1"/>
        <v>14595000</v>
      </c>
      <c r="D19" s="761">
        <v>974</v>
      </c>
      <c r="E19" s="767">
        <v>10659700</v>
      </c>
      <c r="F19" s="383"/>
      <c r="G19" s="384">
        <f t="shared" si="2"/>
        <v>0</v>
      </c>
      <c r="H19" s="743">
        <v>132</v>
      </c>
      <c r="I19" s="744">
        <v>685000</v>
      </c>
      <c r="J19" s="729">
        <v>500</v>
      </c>
      <c r="K19" s="730">
        <f t="shared" si="3"/>
        <v>780000</v>
      </c>
      <c r="L19" s="345">
        <v>578</v>
      </c>
      <c r="M19" s="344">
        <v>826540</v>
      </c>
    </row>
    <row r="20" spans="1:13" ht="18" customHeight="1" x14ac:dyDescent="0.25">
      <c r="A20" s="83" t="s">
        <v>179</v>
      </c>
      <c r="B20" s="424">
        <v>532</v>
      </c>
      <c r="C20" s="442">
        <f t="shared" si="1"/>
        <v>7980000</v>
      </c>
      <c r="D20" s="761">
        <v>511</v>
      </c>
      <c r="E20" s="767">
        <v>5177400</v>
      </c>
      <c r="F20" s="383"/>
      <c r="G20" s="384">
        <f t="shared" si="2"/>
        <v>0</v>
      </c>
      <c r="H20" s="743"/>
      <c r="I20" s="744"/>
      <c r="J20" s="729">
        <v>400</v>
      </c>
      <c r="K20" s="730">
        <f t="shared" si="3"/>
        <v>624000</v>
      </c>
      <c r="L20" s="345">
        <v>414</v>
      </c>
      <c r="M20" s="344">
        <v>650808</v>
      </c>
    </row>
    <row r="21" spans="1:13" ht="18" customHeight="1" x14ac:dyDescent="0.25">
      <c r="A21" s="83" t="s">
        <v>180</v>
      </c>
      <c r="B21" s="424">
        <v>973</v>
      </c>
      <c r="C21" s="442">
        <f t="shared" si="1"/>
        <v>14595000</v>
      </c>
      <c r="D21" s="761">
        <v>969</v>
      </c>
      <c r="E21" s="767">
        <v>10819000</v>
      </c>
      <c r="F21" s="383"/>
      <c r="G21" s="384">
        <f t="shared" si="2"/>
        <v>0</v>
      </c>
      <c r="H21" s="743">
        <v>93</v>
      </c>
      <c r="I21" s="744">
        <v>480000</v>
      </c>
      <c r="J21" s="729">
        <v>750</v>
      </c>
      <c r="K21" s="730">
        <f t="shared" si="3"/>
        <v>1170000</v>
      </c>
      <c r="L21" s="345">
        <v>823</v>
      </c>
      <c r="M21" s="344">
        <v>1293760</v>
      </c>
    </row>
    <row r="22" spans="1:13" ht="18" customHeight="1" x14ac:dyDescent="0.25">
      <c r="A22" s="83" t="s">
        <v>181</v>
      </c>
      <c r="B22" s="424">
        <v>1348</v>
      </c>
      <c r="C22" s="442">
        <f t="shared" si="1"/>
        <v>20220000</v>
      </c>
      <c r="D22" s="761">
        <v>1306</v>
      </c>
      <c r="E22" s="767">
        <v>13203100</v>
      </c>
      <c r="F22" s="383">
        <v>160</v>
      </c>
      <c r="G22" s="384">
        <f t="shared" si="2"/>
        <v>1600000</v>
      </c>
      <c r="H22" s="743"/>
      <c r="I22" s="744"/>
      <c r="J22" s="729">
        <v>900</v>
      </c>
      <c r="K22" s="730">
        <f t="shared" si="3"/>
        <v>1404000</v>
      </c>
      <c r="L22" s="345">
        <v>934</v>
      </c>
      <c r="M22" s="344">
        <v>667810</v>
      </c>
    </row>
    <row r="24" spans="1:13" s="48" customFormat="1" ht="28.5" customHeight="1" x14ac:dyDescent="0.25">
      <c r="A24" s="906" t="s">
        <v>3</v>
      </c>
      <c r="B24" s="913" t="s">
        <v>16</v>
      </c>
      <c r="C24" s="914"/>
      <c r="D24" s="914"/>
      <c r="E24" s="915"/>
      <c r="F24" s="913" t="s">
        <v>421</v>
      </c>
      <c r="G24" s="914"/>
      <c r="H24" s="914"/>
      <c r="I24" s="915"/>
      <c r="J24" s="913" t="s">
        <v>329</v>
      </c>
      <c r="K24" s="914"/>
      <c r="L24" s="914"/>
      <c r="M24" s="915"/>
    </row>
    <row r="25" spans="1:13" ht="25.5" customHeight="1" x14ac:dyDescent="0.25">
      <c r="A25" s="906"/>
      <c r="B25" s="899" t="s">
        <v>327</v>
      </c>
      <c r="C25" s="899"/>
      <c r="D25" s="900" t="s">
        <v>333</v>
      </c>
      <c r="E25" s="901"/>
      <c r="F25" s="986" t="s">
        <v>327</v>
      </c>
      <c r="G25" s="901"/>
      <c r="H25" s="986" t="s">
        <v>333</v>
      </c>
      <c r="I25" s="901"/>
      <c r="J25" s="986" t="s">
        <v>327</v>
      </c>
      <c r="K25" s="901"/>
      <c r="L25" s="986" t="s">
        <v>333</v>
      </c>
      <c r="M25" s="901"/>
    </row>
    <row r="26" spans="1:13" ht="45" customHeight="1" x14ac:dyDescent="0.25">
      <c r="A26" s="906"/>
      <c r="B26" s="494" t="s">
        <v>330</v>
      </c>
      <c r="C26" s="476" t="s">
        <v>60</v>
      </c>
      <c r="D26" s="494" t="s">
        <v>330</v>
      </c>
      <c r="E26" s="476" t="s">
        <v>305</v>
      </c>
      <c r="F26" s="652" t="s">
        <v>253</v>
      </c>
      <c r="G26" s="653" t="s">
        <v>60</v>
      </c>
      <c r="H26" s="652" t="s">
        <v>253</v>
      </c>
      <c r="I26" s="476" t="s">
        <v>305</v>
      </c>
      <c r="J26" s="652" t="s">
        <v>310</v>
      </c>
      <c r="K26" s="476" t="s">
        <v>60</v>
      </c>
      <c r="L26" s="652" t="s">
        <v>310</v>
      </c>
      <c r="M26" s="17" t="s">
        <v>305</v>
      </c>
    </row>
    <row r="27" spans="1:13" x14ac:dyDescent="0.25">
      <c r="A27" s="349" t="s">
        <v>81</v>
      </c>
      <c r="B27" s="477">
        <f t="shared" ref="B27:M27" si="4">SUM(B28:B37)</f>
        <v>3342</v>
      </c>
      <c r="C27" s="351">
        <f t="shared" si="4"/>
        <v>20052000</v>
      </c>
      <c r="D27" s="477">
        <f t="shared" si="4"/>
        <v>5171</v>
      </c>
      <c r="E27" s="798">
        <f t="shared" si="4"/>
        <v>31026000</v>
      </c>
      <c r="F27" s="477">
        <f t="shared" si="4"/>
        <v>13</v>
      </c>
      <c r="G27" s="351">
        <f t="shared" si="4"/>
        <v>16078301</v>
      </c>
      <c r="H27" s="477">
        <f t="shared" si="4"/>
        <v>0</v>
      </c>
      <c r="I27" s="351">
        <f t="shared" si="4"/>
        <v>0</v>
      </c>
      <c r="J27" s="477">
        <f t="shared" si="4"/>
        <v>0</v>
      </c>
      <c r="K27" s="351">
        <f t="shared" si="4"/>
        <v>0</v>
      </c>
      <c r="L27" s="350">
        <f t="shared" si="4"/>
        <v>4761</v>
      </c>
      <c r="M27" s="351">
        <f t="shared" si="4"/>
        <v>8378500</v>
      </c>
    </row>
    <row r="28" spans="1:13" x14ac:dyDescent="0.25">
      <c r="A28" s="83" t="s">
        <v>172</v>
      </c>
      <c r="B28" s="729">
        <v>345</v>
      </c>
      <c r="C28" s="730">
        <f t="shared" ref="C28:C37" si="5">B28*500*12</f>
        <v>2070000</v>
      </c>
      <c r="D28" s="383">
        <v>423</v>
      </c>
      <c r="E28" s="384">
        <f>D28*6000</f>
        <v>2538000</v>
      </c>
      <c r="F28" s="383">
        <v>2</v>
      </c>
      <c r="G28" s="384">
        <f>1000000+500000</f>
        <v>1500000</v>
      </c>
      <c r="H28" s="30"/>
      <c r="I28" s="384"/>
      <c r="J28" s="478"/>
      <c r="K28" s="386"/>
      <c r="L28" s="739">
        <v>114</v>
      </c>
      <c r="M28" s="740">
        <v>234000</v>
      </c>
    </row>
    <row r="29" spans="1:13" x14ac:dyDescent="0.25">
      <c r="A29" s="83" t="s">
        <v>173</v>
      </c>
      <c r="B29" s="729">
        <v>376</v>
      </c>
      <c r="C29" s="730">
        <f t="shared" si="5"/>
        <v>2256000</v>
      </c>
      <c r="D29" s="383">
        <v>412</v>
      </c>
      <c r="E29" s="384">
        <f t="shared" ref="E29:E37" si="6">D29*6000</f>
        <v>2472000</v>
      </c>
      <c r="F29" s="383"/>
      <c r="G29" s="384"/>
      <c r="H29" s="30"/>
      <c r="I29" s="384"/>
      <c r="J29" s="478"/>
      <c r="K29" s="386"/>
      <c r="L29" s="739">
        <v>1253</v>
      </c>
      <c r="M29" s="740">
        <v>2555000</v>
      </c>
    </row>
    <row r="30" spans="1:13" x14ac:dyDescent="0.25">
      <c r="A30" s="83" t="s">
        <v>174</v>
      </c>
      <c r="B30" s="729">
        <v>359</v>
      </c>
      <c r="C30" s="730">
        <f t="shared" si="5"/>
        <v>2154000</v>
      </c>
      <c r="D30" s="383">
        <v>601</v>
      </c>
      <c r="E30" s="384">
        <f t="shared" si="6"/>
        <v>3606000</v>
      </c>
      <c r="F30" s="383">
        <f>1+2</f>
        <v>3</v>
      </c>
      <c r="G30" s="384">
        <f>1200000+800000+1500000</f>
        <v>3500000</v>
      </c>
      <c r="H30" s="30"/>
      <c r="I30" s="384"/>
      <c r="J30" s="478"/>
      <c r="K30" s="386"/>
      <c r="L30" s="739">
        <v>47</v>
      </c>
      <c r="M30" s="740">
        <v>106500</v>
      </c>
    </row>
    <row r="31" spans="1:13" x14ac:dyDescent="0.25">
      <c r="A31" s="83" t="s">
        <v>175</v>
      </c>
      <c r="B31" s="729">
        <v>355</v>
      </c>
      <c r="C31" s="730">
        <f t="shared" si="5"/>
        <v>2130000</v>
      </c>
      <c r="D31" s="383">
        <v>731</v>
      </c>
      <c r="E31" s="384">
        <f t="shared" si="6"/>
        <v>4386000</v>
      </c>
      <c r="F31" s="383"/>
      <c r="G31" s="384"/>
      <c r="H31" s="30"/>
      <c r="I31" s="384"/>
      <c r="J31" s="478"/>
      <c r="K31" s="386"/>
      <c r="L31" s="739">
        <v>229</v>
      </c>
      <c r="M31" s="740">
        <v>516500</v>
      </c>
    </row>
    <row r="32" spans="1:13" ht="14.45" customHeight="1" x14ac:dyDescent="0.25">
      <c r="A32" s="83" t="s">
        <v>176</v>
      </c>
      <c r="B32" s="729">
        <v>349</v>
      </c>
      <c r="C32" s="730">
        <f t="shared" si="5"/>
        <v>2094000</v>
      </c>
      <c r="D32" s="383">
        <v>599</v>
      </c>
      <c r="E32" s="384">
        <f t="shared" si="6"/>
        <v>3594000</v>
      </c>
      <c r="F32" s="383">
        <f>2</f>
        <v>2</v>
      </c>
      <c r="G32" s="384">
        <f>2128301+1250000</f>
        <v>3378301</v>
      </c>
      <c r="H32" s="30"/>
      <c r="I32" s="384"/>
      <c r="J32" s="478"/>
      <c r="K32" s="386"/>
      <c r="L32" s="739">
        <v>732</v>
      </c>
      <c r="M32" s="740">
        <v>1585500</v>
      </c>
    </row>
    <row r="33" spans="1:13" ht="14.45" customHeight="1" x14ac:dyDescent="0.25">
      <c r="A33" s="83" t="s">
        <v>177</v>
      </c>
      <c r="B33" s="729">
        <v>318</v>
      </c>
      <c r="C33" s="730">
        <f t="shared" si="5"/>
        <v>1908000</v>
      </c>
      <c r="D33" s="383">
        <v>416</v>
      </c>
      <c r="E33" s="384">
        <f t="shared" si="6"/>
        <v>2496000</v>
      </c>
      <c r="F33" s="383"/>
      <c r="G33" s="384"/>
      <c r="H33" s="30"/>
      <c r="I33" s="384"/>
      <c r="J33" s="478"/>
      <c r="K33" s="386"/>
      <c r="L33" s="739">
        <v>26</v>
      </c>
      <c r="M33" s="740">
        <v>66000</v>
      </c>
    </row>
    <row r="34" spans="1:13" ht="14.45" customHeight="1" x14ac:dyDescent="0.25">
      <c r="A34" s="83" t="s">
        <v>178</v>
      </c>
      <c r="B34" s="729">
        <v>300</v>
      </c>
      <c r="C34" s="730">
        <f t="shared" si="5"/>
        <v>1800000</v>
      </c>
      <c r="D34" s="383">
        <v>413</v>
      </c>
      <c r="E34" s="384">
        <f t="shared" si="6"/>
        <v>2478000</v>
      </c>
      <c r="F34" s="383">
        <v>3</v>
      </c>
      <c r="G34" s="690">
        <f>2000000+1000000+500000</f>
        <v>3500000</v>
      </c>
      <c r="H34" s="30"/>
      <c r="I34" s="384"/>
      <c r="J34" s="478"/>
      <c r="K34" s="386"/>
      <c r="L34" s="739">
        <v>143</v>
      </c>
      <c r="M34" s="740">
        <v>301500</v>
      </c>
    </row>
    <row r="35" spans="1:13" ht="14.45" customHeight="1" x14ac:dyDescent="0.25">
      <c r="A35" s="83" t="s">
        <v>179</v>
      </c>
      <c r="B35" s="729">
        <v>307</v>
      </c>
      <c r="C35" s="730">
        <f t="shared" si="5"/>
        <v>1842000</v>
      </c>
      <c r="D35" s="383">
        <v>390</v>
      </c>
      <c r="E35" s="384">
        <f t="shared" si="6"/>
        <v>2340000</v>
      </c>
      <c r="F35" s="383">
        <v>1</v>
      </c>
      <c r="G35" s="384">
        <v>500000</v>
      </c>
      <c r="H35" s="30"/>
      <c r="I35" s="384"/>
      <c r="J35" s="478"/>
      <c r="K35" s="386"/>
      <c r="L35" s="739">
        <v>912</v>
      </c>
      <c r="M35" s="740">
        <v>184500</v>
      </c>
    </row>
    <row r="36" spans="1:13" ht="14.45" customHeight="1" x14ac:dyDescent="0.25">
      <c r="A36" s="83" t="s">
        <v>180</v>
      </c>
      <c r="B36" s="729">
        <v>300</v>
      </c>
      <c r="C36" s="730">
        <f t="shared" si="5"/>
        <v>1800000</v>
      </c>
      <c r="D36" s="383">
        <v>527</v>
      </c>
      <c r="E36" s="384">
        <f t="shared" si="6"/>
        <v>3162000</v>
      </c>
      <c r="F36" s="383"/>
      <c r="G36" s="384"/>
      <c r="H36" s="30"/>
      <c r="I36" s="384"/>
      <c r="J36" s="478"/>
      <c r="K36" s="386"/>
      <c r="L36" s="739">
        <v>196</v>
      </c>
      <c r="M36" s="740">
        <v>405500</v>
      </c>
    </row>
    <row r="37" spans="1:13" ht="14.45" customHeight="1" x14ac:dyDescent="0.25">
      <c r="A37" s="83" t="s">
        <v>181</v>
      </c>
      <c r="B37" s="729">
        <v>333</v>
      </c>
      <c r="C37" s="730">
        <f t="shared" si="5"/>
        <v>1998000</v>
      </c>
      <c r="D37" s="383">
        <v>659</v>
      </c>
      <c r="E37" s="384">
        <f t="shared" si="6"/>
        <v>3954000</v>
      </c>
      <c r="F37" s="383">
        <v>2</v>
      </c>
      <c r="G37" s="384">
        <f>1300000+2400000</f>
        <v>3700000</v>
      </c>
      <c r="H37" s="30"/>
      <c r="I37" s="384"/>
      <c r="J37" s="478"/>
      <c r="K37" s="386"/>
      <c r="L37" s="739">
        <v>1109</v>
      </c>
      <c r="M37" s="740">
        <v>2423500</v>
      </c>
    </row>
    <row r="38" spans="1:13" x14ac:dyDescent="0.25">
      <c r="A38" s="116"/>
      <c r="B38" s="511"/>
      <c r="C38" s="58"/>
      <c r="D38" s="509"/>
      <c r="E38" s="58"/>
      <c r="F38" s="283"/>
      <c r="G38" s="475"/>
      <c r="H38" s="117"/>
      <c r="I38" s="510"/>
      <c r="J38" s="512"/>
      <c r="K38" s="513"/>
      <c r="L38" s="514"/>
      <c r="M38" s="475"/>
    </row>
    <row r="39" spans="1:13" s="48" customFormat="1" ht="45.75" customHeight="1" x14ac:dyDescent="0.25">
      <c r="A39" s="906" t="s">
        <v>3</v>
      </c>
      <c r="B39" s="913" t="s">
        <v>331</v>
      </c>
      <c r="C39" s="914"/>
      <c r="D39" s="914"/>
      <c r="E39" s="915"/>
      <c r="F39" s="913" t="s">
        <v>375</v>
      </c>
      <c r="G39" s="914"/>
      <c r="H39" s="914"/>
      <c r="I39" s="915"/>
      <c r="J39" s="913" t="s">
        <v>391</v>
      </c>
      <c r="K39" s="914"/>
      <c r="L39" s="914"/>
      <c r="M39" s="915"/>
    </row>
    <row r="40" spans="1:13" ht="24.75" customHeight="1" x14ac:dyDescent="0.25">
      <c r="A40" s="906"/>
      <c r="B40" s="899" t="s">
        <v>327</v>
      </c>
      <c r="C40" s="899"/>
      <c r="D40" s="900" t="s">
        <v>333</v>
      </c>
      <c r="E40" s="901"/>
      <c r="F40" s="899" t="s">
        <v>327</v>
      </c>
      <c r="G40" s="899"/>
      <c r="H40" s="900" t="s">
        <v>333</v>
      </c>
      <c r="I40" s="901"/>
      <c r="J40" s="899" t="s">
        <v>327</v>
      </c>
      <c r="K40" s="899"/>
      <c r="L40" s="900" t="s">
        <v>333</v>
      </c>
      <c r="M40" s="901"/>
    </row>
    <row r="41" spans="1:13" ht="45" customHeight="1" x14ac:dyDescent="0.25">
      <c r="A41" s="906"/>
      <c r="B41" s="494" t="s">
        <v>308</v>
      </c>
      <c r="C41" s="476" t="s">
        <v>60</v>
      </c>
      <c r="D41" s="494" t="s">
        <v>332</v>
      </c>
      <c r="E41" s="17" t="s">
        <v>305</v>
      </c>
      <c r="F41" s="494" t="s">
        <v>308</v>
      </c>
      <c r="G41" s="495" t="s">
        <v>60</v>
      </c>
      <c r="H41" s="494" t="s">
        <v>253</v>
      </c>
      <c r="I41" s="17" t="s">
        <v>305</v>
      </c>
      <c r="J41" s="567" t="s">
        <v>308</v>
      </c>
      <c r="K41" s="566" t="s">
        <v>60</v>
      </c>
      <c r="L41" s="567" t="s">
        <v>253</v>
      </c>
      <c r="M41" s="17" t="s">
        <v>305</v>
      </c>
    </row>
    <row r="42" spans="1:13" x14ac:dyDescent="0.25">
      <c r="A42" s="349" t="s">
        <v>81</v>
      </c>
      <c r="B42" s="477">
        <f t="shared" ref="B42:I42" si="7">SUM(B43:B52)</f>
        <v>0</v>
      </c>
      <c r="C42" s="351">
        <f t="shared" si="7"/>
        <v>0</v>
      </c>
      <c r="D42" s="477">
        <f t="shared" si="7"/>
        <v>2</v>
      </c>
      <c r="E42" s="351">
        <f t="shared" si="7"/>
        <v>1200</v>
      </c>
      <c r="F42" s="477">
        <f t="shared" si="7"/>
        <v>0</v>
      </c>
      <c r="G42" s="351">
        <f t="shared" si="7"/>
        <v>0</v>
      </c>
      <c r="H42" s="477">
        <f t="shared" si="7"/>
        <v>0</v>
      </c>
      <c r="I42" s="351">
        <f t="shared" si="7"/>
        <v>0</v>
      </c>
      <c r="J42" s="477">
        <f t="shared" ref="J42:M42" si="8">SUM(J43:J52)</f>
        <v>0</v>
      </c>
      <c r="K42" s="351">
        <f t="shared" si="8"/>
        <v>0</v>
      </c>
      <c r="L42" s="477">
        <f t="shared" si="8"/>
        <v>0</v>
      </c>
      <c r="M42" s="351">
        <f t="shared" si="8"/>
        <v>0</v>
      </c>
    </row>
    <row r="43" spans="1:13" x14ac:dyDescent="0.25">
      <c r="A43" s="83" t="s">
        <v>172</v>
      </c>
      <c r="B43" s="494"/>
      <c r="C43" s="17"/>
      <c r="D43" s="20"/>
      <c r="E43" s="17"/>
      <c r="F43" s="30"/>
      <c r="G43" s="384"/>
      <c r="H43" s="30"/>
      <c r="I43" s="384"/>
      <c r="J43" s="30"/>
      <c r="K43" s="384"/>
      <c r="L43" s="30"/>
      <c r="M43" s="384"/>
    </row>
    <row r="44" spans="1:13" x14ac:dyDescent="0.25">
      <c r="A44" s="83" t="s">
        <v>173</v>
      </c>
      <c r="B44" s="494"/>
      <c r="C44" s="17"/>
      <c r="D44" s="20"/>
      <c r="E44" s="17"/>
      <c r="F44" s="30"/>
      <c r="G44" s="384"/>
      <c r="H44" s="30"/>
      <c r="I44" s="384"/>
      <c r="J44" s="30"/>
      <c r="K44" s="384"/>
      <c r="L44" s="30"/>
      <c r="M44" s="384"/>
    </row>
    <row r="45" spans="1:13" x14ac:dyDescent="0.25">
      <c r="A45" s="83" t="s">
        <v>174</v>
      </c>
      <c r="B45" s="494"/>
      <c r="C45" s="17"/>
      <c r="D45" s="20"/>
      <c r="E45" s="17"/>
      <c r="F45" s="30"/>
      <c r="G45" s="384"/>
      <c r="H45" s="30"/>
      <c r="I45" s="384"/>
      <c r="J45" s="30"/>
      <c r="K45" s="384"/>
      <c r="L45" s="30"/>
      <c r="M45" s="384"/>
    </row>
    <row r="46" spans="1:13" x14ac:dyDescent="0.25">
      <c r="A46" s="83" t="s">
        <v>175</v>
      </c>
      <c r="B46" s="494"/>
      <c r="C46" s="17"/>
      <c r="D46" s="20"/>
      <c r="E46" s="17"/>
      <c r="F46" s="30"/>
      <c r="G46" s="384"/>
      <c r="H46" s="30"/>
      <c r="I46" s="384"/>
      <c r="J46" s="30"/>
      <c r="K46" s="384"/>
      <c r="L46" s="30"/>
      <c r="M46" s="384"/>
    </row>
    <row r="47" spans="1:13" x14ac:dyDescent="0.25">
      <c r="A47" s="83" t="s">
        <v>176</v>
      </c>
      <c r="B47" s="494"/>
      <c r="C47" s="17"/>
      <c r="D47" s="20"/>
      <c r="E47" s="17"/>
      <c r="F47" s="30"/>
      <c r="G47" s="384"/>
      <c r="H47" s="30"/>
      <c r="I47" s="384"/>
      <c r="J47" s="30"/>
      <c r="K47" s="384"/>
      <c r="L47" s="30"/>
      <c r="M47" s="384"/>
    </row>
    <row r="48" spans="1:13" x14ac:dyDescent="0.25">
      <c r="A48" s="83" t="s">
        <v>177</v>
      </c>
      <c r="B48" s="494"/>
      <c r="C48" s="17"/>
      <c r="D48" s="20"/>
      <c r="E48" s="17"/>
      <c r="F48" s="30"/>
      <c r="G48" s="384"/>
      <c r="H48" s="30"/>
      <c r="I48" s="384"/>
      <c r="J48" s="30"/>
      <c r="K48" s="384"/>
      <c r="L48" s="30"/>
      <c r="M48" s="384"/>
    </row>
    <row r="49" spans="1:13" x14ac:dyDescent="0.25">
      <c r="A49" s="83" t="s">
        <v>178</v>
      </c>
      <c r="B49" s="494"/>
      <c r="C49" s="17"/>
      <c r="D49" s="739">
        <v>2</v>
      </c>
      <c r="E49" s="740">
        <v>1200</v>
      </c>
      <c r="F49" s="30"/>
      <c r="G49" s="384"/>
      <c r="H49" s="30"/>
      <c r="I49" s="384"/>
      <c r="J49" s="30"/>
      <c r="K49" s="384"/>
      <c r="L49" s="30"/>
      <c r="M49" s="384"/>
    </row>
    <row r="50" spans="1:13" x14ac:dyDescent="0.25">
      <c r="A50" s="83" t="s">
        <v>179</v>
      </c>
      <c r="B50" s="494"/>
      <c r="C50" s="17"/>
      <c r="D50" s="739"/>
      <c r="E50" s="17"/>
      <c r="F50" s="30"/>
      <c r="G50" s="384"/>
      <c r="H50" s="30"/>
      <c r="I50" s="384"/>
      <c r="J50" s="30"/>
      <c r="K50" s="384"/>
      <c r="L50" s="30"/>
      <c r="M50" s="384"/>
    </row>
    <row r="51" spans="1:13" x14ac:dyDescent="0.25">
      <c r="A51" s="83" t="s">
        <v>180</v>
      </c>
      <c r="B51" s="494"/>
      <c r="C51" s="17"/>
      <c r="D51" s="20"/>
      <c r="E51" s="17"/>
      <c r="F51" s="30"/>
      <c r="G51" s="384"/>
      <c r="H51" s="30"/>
      <c r="I51" s="384"/>
      <c r="J51" s="30"/>
      <c r="K51" s="384"/>
      <c r="L51" s="30"/>
      <c r="M51" s="384"/>
    </row>
    <row r="52" spans="1:13" x14ac:dyDescent="0.25">
      <c r="A52" s="83" t="s">
        <v>181</v>
      </c>
      <c r="B52" s="494"/>
      <c r="C52" s="17"/>
      <c r="D52" s="20"/>
      <c r="E52" s="17"/>
      <c r="F52" s="30"/>
      <c r="G52" s="384"/>
      <c r="H52" s="30"/>
      <c r="I52" s="384"/>
      <c r="J52" s="30"/>
      <c r="K52" s="384"/>
      <c r="L52" s="30"/>
      <c r="M52" s="384"/>
    </row>
    <row r="54" spans="1:13" ht="24" customHeight="1" x14ac:dyDescent="0.25">
      <c r="A54" s="906" t="s">
        <v>3</v>
      </c>
      <c r="B54" s="913" t="s">
        <v>418</v>
      </c>
      <c r="C54" s="914"/>
      <c r="D54" s="914"/>
      <c r="E54" s="915"/>
      <c r="F54" s="913" t="s">
        <v>81</v>
      </c>
      <c r="G54" s="914"/>
      <c r="H54" s="914"/>
      <c r="I54" s="915"/>
    </row>
    <row r="55" spans="1:13" x14ac:dyDescent="0.25">
      <c r="A55" s="906"/>
      <c r="B55" s="899" t="s">
        <v>327</v>
      </c>
      <c r="C55" s="899"/>
      <c r="D55" s="900" t="s">
        <v>333</v>
      </c>
      <c r="E55" s="901"/>
      <c r="F55" s="907" t="s">
        <v>60</v>
      </c>
      <c r="G55" s="908"/>
      <c r="H55" s="907" t="s">
        <v>305</v>
      </c>
      <c r="I55" s="908"/>
    </row>
    <row r="56" spans="1:13" ht="30" x14ac:dyDescent="0.25">
      <c r="A56" s="906"/>
      <c r="B56" s="634" t="s">
        <v>308</v>
      </c>
      <c r="C56" s="633" t="s">
        <v>60</v>
      </c>
      <c r="D56" s="634" t="s">
        <v>253</v>
      </c>
      <c r="E56" s="17" t="s">
        <v>305</v>
      </c>
      <c r="F56" s="909"/>
      <c r="G56" s="910"/>
      <c r="H56" s="909"/>
      <c r="I56" s="910"/>
    </row>
    <row r="57" spans="1:13" x14ac:dyDescent="0.25">
      <c r="A57" s="349" t="s">
        <v>81</v>
      </c>
      <c r="B57" s="477">
        <f t="shared" ref="B57:E57" si="9">SUM(B58:B67)</f>
        <v>0</v>
      </c>
      <c r="C57" s="351">
        <f t="shared" si="9"/>
        <v>0</v>
      </c>
      <c r="D57" s="477">
        <f t="shared" si="9"/>
        <v>0</v>
      </c>
      <c r="E57" s="351">
        <f t="shared" si="9"/>
        <v>0</v>
      </c>
      <c r="F57" s="904">
        <f>SUM(F58:F67)</f>
        <v>254852301</v>
      </c>
      <c r="G57" s="905"/>
      <c r="H57" s="904">
        <f>SUM(H58:I67)</f>
        <v>182327453</v>
      </c>
      <c r="I57" s="905"/>
    </row>
    <row r="58" spans="1:13" x14ac:dyDescent="0.25">
      <c r="A58" s="83" t="s">
        <v>172</v>
      </c>
      <c r="B58" s="30"/>
      <c r="C58" s="384"/>
      <c r="D58" s="30"/>
      <c r="E58" s="384"/>
      <c r="F58" s="902">
        <f t="shared" ref="F58:F67" si="10">C13+G13+K13+C28+G28+K28+C43+G43+K43+C58</f>
        <v>10113000</v>
      </c>
      <c r="G58" s="903"/>
      <c r="H58" s="902">
        <f t="shared" ref="H58:H67" si="11">E13+I13+M13+E28+I28+M28+E43+I43+M43+E58</f>
        <v>7292900</v>
      </c>
      <c r="I58" s="903"/>
    </row>
    <row r="59" spans="1:13" x14ac:dyDescent="0.25">
      <c r="A59" s="83" t="s">
        <v>173</v>
      </c>
      <c r="B59" s="30"/>
      <c r="C59" s="384"/>
      <c r="D59" s="30"/>
      <c r="E59" s="384"/>
      <c r="F59" s="902">
        <f t="shared" si="10"/>
        <v>33497000</v>
      </c>
      <c r="G59" s="903"/>
      <c r="H59" s="902">
        <f t="shared" si="11"/>
        <v>25787752</v>
      </c>
      <c r="I59" s="903"/>
    </row>
    <row r="60" spans="1:13" x14ac:dyDescent="0.25">
      <c r="A60" s="83" t="s">
        <v>174</v>
      </c>
      <c r="B60" s="30"/>
      <c r="C60" s="384"/>
      <c r="D60" s="30"/>
      <c r="E60" s="384"/>
      <c r="F60" s="902">
        <f t="shared" si="10"/>
        <v>30962000</v>
      </c>
      <c r="G60" s="903"/>
      <c r="H60" s="902">
        <f t="shared" si="11"/>
        <v>19690600</v>
      </c>
      <c r="I60" s="903"/>
    </row>
    <row r="61" spans="1:13" x14ac:dyDescent="0.25">
      <c r="A61" s="83" t="s">
        <v>175</v>
      </c>
      <c r="B61" s="30"/>
      <c r="C61" s="384"/>
      <c r="D61" s="30"/>
      <c r="E61" s="384"/>
      <c r="F61" s="902">
        <f t="shared" si="10"/>
        <v>41983000</v>
      </c>
      <c r="G61" s="903"/>
      <c r="H61" s="902">
        <f t="shared" si="11"/>
        <v>28639235</v>
      </c>
      <c r="I61" s="903"/>
    </row>
    <row r="62" spans="1:13" x14ac:dyDescent="0.25">
      <c r="A62" s="83" t="s">
        <v>176</v>
      </c>
      <c r="B62" s="30"/>
      <c r="C62" s="384"/>
      <c r="D62" s="30"/>
      <c r="E62" s="384"/>
      <c r="F62" s="902">
        <f t="shared" si="10"/>
        <v>46183301</v>
      </c>
      <c r="G62" s="903"/>
      <c r="H62" s="902">
        <f t="shared" si="11"/>
        <v>31029072</v>
      </c>
      <c r="I62" s="903"/>
    </row>
    <row r="63" spans="1:13" x14ac:dyDescent="0.25">
      <c r="A63" s="83" t="s">
        <v>177</v>
      </c>
      <c r="B63" s="30"/>
      <c r="C63" s="384"/>
      <c r="D63" s="30"/>
      <c r="E63" s="384"/>
      <c r="F63" s="902">
        <f t="shared" si="10"/>
        <v>14006000</v>
      </c>
      <c r="G63" s="903"/>
      <c r="H63" s="902">
        <f t="shared" si="11"/>
        <v>10174576</v>
      </c>
      <c r="I63" s="903"/>
    </row>
    <row r="64" spans="1:13" x14ac:dyDescent="0.25">
      <c r="A64" s="83" t="s">
        <v>178</v>
      </c>
      <c r="B64" s="30"/>
      <c r="C64" s="384"/>
      <c r="D64" s="30"/>
      <c r="E64" s="384"/>
      <c r="F64" s="902">
        <f t="shared" si="10"/>
        <v>20675000</v>
      </c>
      <c r="G64" s="903"/>
      <c r="H64" s="902">
        <f t="shared" si="11"/>
        <v>14951940</v>
      </c>
      <c r="I64" s="903"/>
    </row>
    <row r="65" spans="1:9" x14ac:dyDescent="0.25">
      <c r="A65" s="83" t="s">
        <v>179</v>
      </c>
      <c r="B65" s="30"/>
      <c r="C65" s="384"/>
      <c r="D65" s="30"/>
      <c r="E65" s="384"/>
      <c r="F65" s="902">
        <f t="shared" si="10"/>
        <v>10946000</v>
      </c>
      <c r="G65" s="903"/>
      <c r="H65" s="902">
        <f t="shared" si="11"/>
        <v>8352708</v>
      </c>
      <c r="I65" s="903"/>
    </row>
    <row r="66" spans="1:9" x14ac:dyDescent="0.25">
      <c r="A66" s="83" t="s">
        <v>180</v>
      </c>
      <c r="B66" s="30"/>
      <c r="C66" s="384"/>
      <c r="D66" s="30"/>
      <c r="E66" s="384"/>
      <c r="F66" s="902">
        <f t="shared" si="10"/>
        <v>17565000</v>
      </c>
      <c r="G66" s="903"/>
      <c r="H66" s="902">
        <f t="shared" si="11"/>
        <v>16160260</v>
      </c>
      <c r="I66" s="903"/>
    </row>
    <row r="67" spans="1:9" x14ac:dyDescent="0.25">
      <c r="A67" s="83" t="s">
        <v>181</v>
      </c>
      <c r="B67" s="30"/>
      <c r="C67" s="384"/>
      <c r="D67" s="30"/>
      <c r="E67" s="384"/>
      <c r="F67" s="902">
        <f t="shared" si="10"/>
        <v>28922000</v>
      </c>
      <c r="G67" s="903"/>
      <c r="H67" s="902">
        <f t="shared" si="11"/>
        <v>20248410</v>
      </c>
      <c r="I67" s="903"/>
    </row>
  </sheetData>
  <mergeCells count="64">
    <mergeCell ref="H65:I65"/>
    <mergeCell ref="H66:I66"/>
    <mergeCell ref="H67:I67"/>
    <mergeCell ref="F65:G65"/>
    <mergeCell ref="F66:G66"/>
    <mergeCell ref="F67:G67"/>
    <mergeCell ref="F57:G57"/>
    <mergeCell ref="H57:I57"/>
    <mergeCell ref="F58:G58"/>
    <mergeCell ref="H58:I58"/>
    <mergeCell ref="H64:I64"/>
    <mergeCell ref="F59:G59"/>
    <mergeCell ref="F60:G60"/>
    <mergeCell ref="F61:G61"/>
    <mergeCell ref="F62:G62"/>
    <mergeCell ref="F63:G63"/>
    <mergeCell ref="F64:G64"/>
    <mergeCell ref="H59:I59"/>
    <mergeCell ref="H60:I60"/>
    <mergeCell ref="H61:I61"/>
    <mergeCell ref="H62:I62"/>
    <mergeCell ref="H63:I63"/>
    <mergeCell ref="L25:M25"/>
    <mergeCell ref="A39:A41"/>
    <mergeCell ref="B39:E39"/>
    <mergeCell ref="F39:I39"/>
    <mergeCell ref="F54:I54"/>
    <mergeCell ref="B40:C40"/>
    <mergeCell ref="D40:E40"/>
    <mergeCell ref="F40:G40"/>
    <mergeCell ref="H40:I40"/>
    <mergeCell ref="A24:A26"/>
    <mergeCell ref="B24:E24"/>
    <mergeCell ref="F24:I24"/>
    <mergeCell ref="J24:M24"/>
    <mergeCell ref="B25:C25"/>
    <mergeCell ref="D25:E25"/>
    <mergeCell ref="F25:G25"/>
    <mergeCell ref="A1:M1"/>
    <mergeCell ref="A2:M2"/>
    <mergeCell ref="A3:M3"/>
    <mergeCell ref="A5:M5"/>
    <mergeCell ref="A6:M6"/>
    <mergeCell ref="H25:I25"/>
    <mergeCell ref="J25:K25"/>
    <mergeCell ref="B10:C10"/>
    <mergeCell ref="D10:E10"/>
    <mergeCell ref="F10:G10"/>
    <mergeCell ref="H10:I10"/>
    <mergeCell ref="J10:K10"/>
    <mergeCell ref="L10:M10"/>
    <mergeCell ref="A9:A11"/>
    <mergeCell ref="B9:E9"/>
    <mergeCell ref="F9:I9"/>
    <mergeCell ref="J9:M9"/>
    <mergeCell ref="B54:E54"/>
    <mergeCell ref="B55:C55"/>
    <mergeCell ref="D55:E55"/>
    <mergeCell ref="A54:A56"/>
    <mergeCell ref="J39:M39"/>
    <mergeCell ref="J40:K40"/>
    <mergeCell ref="L40:M40"/>
    <mergeCell ref="F55:G56"/>
    <mergeCell ref="H55:I56"/>
  </mergeCells>
  <pageMargins left="1.19" right="0.15748031496063" top="0.59055118110236204" bottom="0.74803149606299202" header="0.78740157480314998" footer="0.31496062992126"/>
  <pageSetup paperSize="9" scale="60" orientation="portrait" horizontalDpi="4294967293" verticalDpi="4294967293"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4"/>
  <sheetViews>
    <sheetView topLeftCell="A2" zoomScale="70" zoomScaleNormal="70" workbookViewId="0">
      <selection activeCell="M26" sqref="M26"/>
    </sheetView>
  </sheetViews>
  <sheetFormatPr defaultRowHeight="15" x14ac:dyDescent="0.25"/>
  <cols>
    <col min="1" max="1" width="15.140625" customWidth="1"/>
    <col min="2" max="2" width="11.42578125" customWidth="1"/>
    <col min="3" max="3" width="23.5703125" style="97" customWidth="1"/>
    <col min="4" max="4" width="12" style="97" customWidth="1"/>
    <col min="5" max="5" width="22.7109375" style="97" customWidth="1"/>
    <col min="6" max="6" width="9.5703125" customWidth="1"/>
    <col min="7" max="7" width="22" customWidth="1"/>
    <col min="8" max="8" width="11" customWidth="1"/>
    <col min="9" max="9" width="19.85546875" style="97" customWidth="1"/>
    <col min="10" max="10" width="11.5703125" customWidth="1"/>
    <col min="11" max="11" width="19" style="97" customWidth="1"/>
    <col min="12" max="12" width="11.42578125" customWidth="1"/>
    <col min="13" max="13" width="21.425781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365</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96"/>
      <c r="B7" s="496"/>
      <c r="C7" s="496"/>
      <c r="D7" s="496"/>
      <c r="E7" s="496"/>
      <c r="F7" s="496"/>
      <c r="G7" s="496"/>
      <c r="H7" s="496"/>
      <c r="I7" s="496"/>
      <c r="J7" s="496"/>
      <c r="K7" s="496"/>
      <c r="L7" s="496"/>
      <c r="M7" s="496"/>
    </row>
    <row r="8" spans="1:13" s="498" customFormat="1" ht="21" x14ac:dyDescent="0.35">
      <c r="A8" s="489" t="s">
        <v>383</v>
      </c>
      <c r="B8" s="499"/>
      <c r="C8" s="504"/>
      <c r="D8" s="499"/>
      <c r="E8" s="504"/>
      <c r="F8" s="499"/>
      <c r="G8" s="504"/>
      <c r="H8" s="499"/>
    </row>
    <row r="9" spans="1:13" s="48" customFormat="1" ht="28.5" customHeight="1" x14ac:dyDescent="0.25">
      <c r="A9" s="906" t="s">
        <v>3</v>
      </c>
      <c r="B9" s="913" t="s">
        <v>5</v>
      </c>
      <c r="C9" s="914"/>
      <c r="D9" s="914"/>
      <c r="E9" s="915"/>
      <c r="F9" s="913" t="s">
        <v>7</v>
      </c>
      <c r="G9" s="914"/>
      <c r="H9" s="914"/>
      <c r="I9" s="915"/>
      <c r="J9" s="913" t="s">
        <v>306</v>
      </c>
      <c r="K9" s="914"/>
      <c r="L9" s="914"/>
      <c r="M9" s="915"/>
    </row>
    <row r="10" spans="1:13" ht="28.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94" t="s">
        <v>307</v>
      </c>
      <c r="C11" s="476" t="s">
        <v>60</v>
      </c>
      <c r="D11" s="494" t="s">
        <v>307</v>
      </c>
      <c r="E11" s="17" t="s">
        <v>305</v>
      </c>
      <c r="F11" s="494" t="s">
        <v>308</v>
      </c>
      <c r="G11" s="495" t="s">
        <v>60</v>
      </c>
      <c r="H11" s="494" t="s">
        <v>308</v>
      </c>
      <c r="I11" s="17" t="s">
        <v>305</v>
      </c>
      <c r="J11" s="494" t="s">
        <v>309</v>
      </c>
      <c r="K11" s="476" t="s">
        <v>60</v>
      </c>
      <c r="L11" s="494" t="s">
        <v>309</v>
      </c>
      <c r="M11" s="476" t="s">
        <v>305</v>
      </c>
    </row>
    <row r="12" spans="1:13" x14ac:dyDescent="0.25">
      <c r="A12" s="349" t="s">
        <v>81</v>
      </c>
      <c r="B12" s="477">
        <f t="shared" ref="B12:M12" si="0">SUM(B13:B16)</f>
        <v>15811</v>
      </c>
      <c r="C12" s="351">
        <f t="shared" si="0"/>
        <v>237165000</v>
      </c>
      <c r="D12" s="477">
        <f t="shared" si="0"/>
        <v>15620</v>
      </c>
      <c r="E12" s="646">
        <f t="shared" si="0"/>
        <v>162100300</v>
      </c>
      <c r="F12" s="477">
        <f t="shared" si="0"/>
        <v>1994</v>
      </c>
      <c r="G12" s="351">
        <f t="shared" si="0"/>
        <v>19940000</v>
      </c>
      <c r="H12" s="477">
        <f t="shared" si="0"/>
        <v>290</v>
      </c>
      <c r="I12" s="351">
        <f t="shared" si="0"/>
        <v>2100000</v>
      </c>
      <c r="J12" s="477">
        <f t="shared" si="0"/>
        <v>9800</v>
      </c>
      <c r="K12" s="351">
        <f t="shared" si="0"/>
        <v>15288000</v>
      </c>
      <c r="L12" s="350">
        <f t="shared" si="0"/>
        <v>8999</v>
      </c>
      <c r="M12" s="351">
        <f t="shared" si="0"/>
        <v>4561440</v>
      </c>
    </row>
    <row r="13" spans="1:13" x14ac:dyDescent="0.25">
      <c r="A13" s="83" t="s">
        <v>182</v>
      </c>
      <c r="B13" s="424">
        <v>3130</v>
      </c>
      <c r="C13" s="412">
        <f t="shared" ref="C13:C16" si="1">B13*15000</f>
        <v>46950000</v>
      </c>
      <c r="D13" s="774">
        <v>3027</v>
      </c>
      <c r="E13" s="777">
        <v>29984900</v>
      </c>
      <c r="F13" s="383">
        <v>123</v>
      </c>
      <c r="G13" s="384">
        <f>F13*10000</f>
        <v>1230000</v>
      </c>
      <c r="H13" s="743">
        <v>266</v>
      </c>
      <c r="I13" s="744">
        <v>1860000</v>
      </c>
      <c r="J13" s="729">
        <v>2100</v>
      </c>
      <c r="K13" s="686">
        <f>J13*1560</f>
        <v>3276000</v>
      </c>
      <c r="L13" s="345">
        <v>2024</v>
      </c>
      <c r="M13" s="344">
        <v>3176160</v>
      </c>
    </row>
    <row r="14" spans="1:13" x14ac:dyDescent="0.25">
      <c r="A14" s="83" t="s">
        <v>183</v>
      </c>
      <c r="B14" s="424">
        <f>2846-8</f>
        <v>2838</v>
      </c>
      <c r="C14" s="412">
        <f t="shared" si="1"/>
        <v>42570000</v>
      </c>
      <c r="D14" s="765">
        <v>2767</v>
      </c>
      <c r="E14" s="661">
        <v>29908600</v>
      </c>
      <c r="F14" s="383"/>
      <c r="G14" s="384">
        <f t="shared" ref="G14:G16" si="2">F14*10000</f>
        <v>0</v>
      </c>
      <c r="H14" s="743"/>
      <c r="I14" s="744"/>
      <c r="J14" s="729">
        <v>800</v>
      </c>
      <c r="K14" s="686">
        <f t="shared" ref="K14:K16" si="3">J14*1560</f>
        <v>1248000</v>
      </c>
      <c r="L14" s="345">
        <v>954</v>
      </c>
      <c r="M14" s="344">
        <v>355680</v>
      </c>
    </row>
    <row r="15" spans="1:13" x14ac:dyDescent="0.25">
      <c r="A15" s="83" t="s">
        <v>184</v>
      </c>
      <c r="B15" s="424">
        <v>7738</v>
      </c>
      <c r="C15" s="412">
        <f t="shared" si="1"/>
        <v>116070000</v>
      </c>
      <c r="D15" s="774">
        <v>7811</v>
      </c>
      <c r="E15" s="777">
        <v>81380000</v>
      </c>
      <c r="F15" s="383">
        <v>1811</v>
      </c>
      <c r="G15" s="384">
        <f t="shared" si="2"/>
        <v>18110000</v>
      </c>
      <c r="H15" s="743"/>
      <c r="I15" s="744"/>
      <c r="J15" s="729">
        <v>5400</v>
      </c>
      <c r="K15" s="686">
        <f t="shared" si="3"/>
        <v>8424000</v>
      </c>
      <c r="L15" s="345">
        <v>6021</v>
      </c>
      <c r="M15" s="344">
        <v>1029600</v>
      </c>
    </row>
    <row r="16" spans="1:13" x14ac:dyDescent="0.25">
      <c r="A16" s="83" t="s">
        <v>185</v>
      </c>
      <c r="B16" s="424">
        <v>2105</v>
      </c>
      <c r="C16" s="412">
        <f t="shared" si="1"/>
        <v>31575000</v>
      </c>
      <c r="D16" s="774">
        <v>2015</v>
      </c>
      <c r="E16" s="777">
        <v>20826800</v>
      </c>
      <c r="F16" s="383">
        <v>60</v>
      </c>
      <c r="G16" s="384">
        <f t="shared" si="2"/>
        <v>600000</v>
      </c>
      <c r="H16" s="743">
        <v>24</v>
      </c>
      <c r="I16" s="744">
        <v>240000</v>
      </c>
      <c r="J16" s="729">
        <v>1500</v>
      </c>
      <c r="K16" s="686">
        <f t="shared" si="3"/>
        <v>2340000</v>
      </c>
      <c r="L16" s="345"/>
      <c r="M16" s="344"/>
    </row>
    <row r="18" spans="1:13" s="48" customFormat="1" ht="28.5" customHeight="1" x14ac:dyDescent="0.25">
      <c r="A18" s="906" t="s">
        <v>3</v>
      </c>
      <c r="B18" s="913" t="s">
        <v>16</v>
      </c>
      <c r="C18" s="914"/>
      <c r="D18" s="914"/>
      <c r="E18" s="915"/>
      <c r="F18" s="913" t="s">
        <v>421</v>
      </c>
      <c r="G18" s="914"/>
      <c r="H18" s="914"/>
      <c r="I18" s="915"/>
      <c r="J18" s="913" t="s">
        <v>329</v>
      </c>
      <c r="K18" s="914"/>
      <c r="L18" s="914"/>
      <c r="M18" s="915"/>
    </row>
    <row r="19" spans="1:13" ht="25.5" customHeight="1" x14ac:dyDescent="0.25">
      <c r="A19" s="906"/>
      <c r="B19" s="899" t="s">
        <v>327</v>
      </c>
      <c r="C19" s="899"/>
      <c r="D19" s="900" t="s">
        <v>333</v>
      </c>
      <c r="E19" s="901"/>
      <c r="F19" s="899" t="s">
        <v>327</v>
      </c>
      <c r="G19" s="899"/>
      <c r="H19" s="900" t="s">
        <v>333</v>
      </c>
      <c r="I19" s="901"/>
      <c r="J19" s="899" t="s">
        <v>327</v>
      </c>
      <c r="K19" s="899"/>
      <c r="L19" s="900" t="s">
        <v>333</v>
      </c>
      <c r="M19" s="901"/>
    </row>
    <row r="20" spans="1:13" ht="45" customHeight="1" x14ac:dyDescent="0.25">
      <c r="A20" s="906"/>
      <c r="B20" s="494" t="s">
        <v>330</v>
      </c>
      <c r="C20" s="476" t="s">
        <v>60</v>
      </c>
      <c r="D20" s="494" t="s">
        <v>330</v>
      </c>
      <c r="E20" s="17" t="s">
        <v>305</v>
      </c>
      <c r="F20" s="494" t="s">
        <v>253</v>
      </c>
      <c r="G20" s="495" t="s">
        <v>60</v>
      </c>
      <c r="H20" s="494" t="s">
        <v>253</v>
      </c>
      <c r="I20" s="476" t="s">
        <v>305</v>
      </c>
      <c r="J20" s="494" t="s">
        <v>310</v>
      </c>
      <c r="K20" s="476" t="s">
        <v>60</v>
      </c>
      <c r="L20" s="494" t="s">
        <v>310</v>
      </c>
      <c r="M20" s="17" t="s">
        <v>305</v>
      </c>
    </row>
    <row r="21" spans="1:13" ht="14.45" x14ac:dyDescent="0.3">
      <c r="A21" s="349" t="s">
        <v>81</v>
      </c>
      <c r="B21" s="477">
        <f t="shared" ref="B21:M21" si="4">SUM(B22:B25)</f>
        <v>1829</v>
      </c>
      <c r="C21" s="351">
        <f t="shared" si="4"/>
        <v>10974000</v>
      </c>
      <c r="D21" s="477">
        <f t="shared" si="4"/>
        <v>2787</v>
      </c>
      <c r="E21" s="351">
        <f t="shared" si="4"/>
        <v>16722000</v>
      </c>
      <c r="F21" s="477">
        <f t="shared" si="4"/>
        <v>7</v>
      </c>
      <c r="G21" s="351">
        <f t="shared" si="4"/>
        <v>8487000</v>
      </c>
      <c r="H21" s="477">
        <f t="shared" si="4"/>
        <v>0</v>
      </c>
      <c r="I21" s="351">
        <f t="shared" si="4"/>
        <v>0</v>
      </c>
      <c r="J21" s="477">
        <f t="shared" si="4"/>
        <v>0</v>
      </c>
      <c r="K21" s="351">
        <f t="shared" si="4"/>
        <v>0</v>
      </c>
      <c r="L21" s="508">
        <f t="shared" si="4"/>
        <v>574</v>
      </c>
      <c r="M21" s="351">
        <f t="shared" si="4"/>
        <v>2181800</v>
      </c>
    </row>
    <row r="22" spans="1:13" x14ac:dyDescent="0.25">
      <c r="A22" s="83" t="s">
        <v>182</v>
      </c>
      <c r="B22" s="729">
        <v>517</v>
      </c>
      <c r="C22" s="686">
        <f t="shared" ref="C22:C25" si="5">B22*500*12</f>
        <v>3102000</v>
      </c>
      <c r="D22" s="101">
        <v>790</v>
      </c>
      <c r="E22" s="648">
        <f>D22*6000</f>
        <v>4740000</v>
      </c>
      <c r="F22" s="383">
        <v>2</v>
      </c>
      <c r="G22" s="384">
        <f>1900000+3200000</f>
        <v>5100000</v>
      </c>
      <c r="H22" s="30"/>
      <c r="I22" s="384"/>
      <c r="J22" s="478"/>
      <c r="K22" s="386"/>
      <c r="L22" s="739">
        <v>124</v>
      </c>
      <c r="M22" s="740">
        <v>423800</v>
      </c>
    </row>
    <row r="23" spans="1:13" x14ac:dyDescent="0.25">
      <c r="A23" s="83" t="s">
        <v>183</v>
      </c>
      <c r="B23" s="729">
        <v>327</v>
      </c>
      <c r="C23" s="686">
        <f t="shared" si="5"/>
        <v>1962000</v>
      </c>
      <c r="D23" s="101">
        <v>525</v>
      </c>
      <c r="E23" s="648">
        <f t="shared" ref="E23:E25" si="6">D23*6000</f>
        <v>3150000</v>
      </c>
      <c r="F23" s="383"/>
      <c r="G23" s="384"/>
      <c r="H23" s="30"/>
      <c r="I23" s="384"/>
      <c r="J23" s="478"/>
      <c r="K23" s="386"/>
      <c r="L23" s="739">
        <v>21</v>
      </c>
      <c r="M23" s="740">
        <v>68000</v>
      </c>
    </row>
    <row r="24" spans="1:13" x14ac:dyDescent="0.25">
      <c r="A24" s="83" t="s">
        <v>184</v>
      </c>
      <c r="B24" s="729">
        <v>613</v>
      </c>
      <c r="C24" s="686">
        <f t="shared" si="5"/>
        <v>3678000</v>
      </c>
      <c r="D24" s="647">
        <v>786</v>
      </c>
      <c r="E24" s="648">
        <f t="shared" si="6"/>
        <v>4716000</v>
      </c>
      <c r="F24" s="383">
        <v>3</v>
      </c>
      <c r="G24" s="384">
        <f>507000+1000000+525000</f>
        <v>2032000</v>
      </c>
      <c r="H24" s="30"/>
      <c r="I24" s="384"/>
      <c r="J24" s="478"/>
      <c r="K24" s="386"/>
      <c r="L24" s="739">
        <v>413</v>
      </c>
      <c r="M24" s="740">
        <v>1630000</v>
      </c>
    </row>
    <row r="25" spans="1:13" x14ac:dyDescent="0.25">
      <c r="A25" s="83" t="s">
        <v>185</v>
      </c>
      <c r="B25" s="729">
        <v>372</v>
      </c>
      <c r="C25" s="686">
        <f t="shared" si="5"/>
        <v>2232000</v>
      </c>
      <c r="D25" s="101">
        <v>686</v>
      </c>
      <c r="E25" s="648">
        <f t="shared" si="6"/>
        <v>4116000</v>
      </c>
      <c r="F25" s="383">
        <v>2</v>
      </c>
      <c r="G25" s="384">
        <f>750000+605000</f>
        <v>1355000</v>
      </c>
      <c r="H25" s="30"/>
      <c r="I25" s="384"/>
      <c r="J25" s="478"/>
      <c r="K25" s="386"/>
      <c r="L25" s="739">
        <v>16</v>
      </c>
      <c r="M25" s="740">
        <v>60000</v>
      </c>
    </row>
    <row r="27" spans="1:13" s="48" customFormat="1" ht="28.5" customHeight="1" x14ac:dyDescent="0.25">
      <c r="A27" s="906" t="s">
        <v>3</v>
      </c>
      <c r="B27" s="913" t="s">
        <v>331</v>
      </c>
      <c r="C27" s="914"/>
      <c r="D27" s="914"/>
      <c r="E27" s="915"/>
      <c r="F27" s="913" t="s">
        <v>375</v>
      </c>
      <c r="G27" s="914"/>
      <c r="H27" s="914"/>
      <c r="I27" s="915"/>
      <c r="J27" s="913" t="s">
        <v>81</v>
      </c>
      <c r="K27" s="914"/>
      <c r="L27" s="914"/>
      <c r="M27" s="915"/>
    </row>
    <row r="28" spans="1:13" ht="24.75" customHeight="1" x14ac:dyDescent="0.25">
      <c r="A28" s="906"/>
      <c r="B28" s="899" t="s">
        <v>327</v>
      </c>
      <c r="C28" s="899"/>
      <c r="D28" s="900" t="s">
        <v>333</v>
      </c>
      <c r="E28" s="901"/>
      <c r="F28" s="899" t="s">
        <v>327</v>
      </c>
      <c r="G28" s="899"/>
      <c r="H28" s="900" t="s">
        <v>333</v>
      </c>
      <c r="I28" s="901"/>
      <c r="J28" s="907" t="s">
        <v>60</v>
      </c>
      <c r="K28" s="908"/>
      <c r="L28" s="907" t="s">
        <v>305</v>
      </c>
      <c r="M28" s="908"/>
    </row>
    <row r="29" spans="1:13" ht="45" customHeight="1" x14ac:dyDescent="0.25">
      <c r="A29" s="906"/>
      <c r="B29" s="494" t="s">
        <v>308</v>
      </c>
      <c r="C29" s="476" t="s">
        <v>60</v>
      </c>
      <c r="D29" s="494" t="s">
        <v>332</v>
      </c>
      <c r="E29" s="17" t="s">
        <v>305</v>
      </c>
      <c r="F29" s="494" t="s">
        <v>308</v>
      </c>
      <c r="G29" s="495" t="s">
        <v>60</v>
      </c>
      <c r="H29" s="494" t="s">
        <v>253</v>
      </c>
      <c r="I29" s="17" t="s">
        <v>305</v>
      </c>
      <c r="J29" s="909"/>
      <c r="K29" s="910"/>
      <c r="L29" s="909"/>
      <c r="M29" s="910"/>
    </row>
    <row r="30" spans="1:13" x14ac:dyDescent="0.25">
      <c r="A30" s="349" t="s">
        <v>81</v>
      </c>
      <c r="B30" s="477">
        <f t="shared" ref="B30:J30" si="7">SUM(B31:B35)</f>
        <v>0</v>
      </c>
      <c r="C30" s="351">
        <f t="shared" si="7"/>
        <v>0</v>
      </c>
      <c r="D30" s="477">
        <f t="shared" si="7"/>
        <v>1</v>
      </c>
      <c r="E30" s="351">
        <f t="shared" si="7"/>
        <v>500</v>
      </c>
      <c r="F30" s="477">
        <f t="shared" si="7"/>
        <v>0</v>
      </c>
      <c r="G30" s="351">
        <f t="shared" si="7"/>
        <v>0</v>
      </c>
      <c r="H30" s="477">
        <f t="shared" si="7"/>
        <v>0</v>
      </c>
      <c r="I30" s="351">
        <f t="shared" si="7"/>
        <v>0</v>
      </c>
      <c r="J30" s="904">
        <f t="shared" si="7"/>
        <v>291854000</v>
      </c>
      <c r="K30" s="905"/>
      <c r="L30" s="904">
        <f>SUM(L31:M35)</f>
        <v>187666040</v>
      </c>
      <c r="M30" s="905"/>
    </row>
    <row r="31" spans="1:13" x14ac:dyDescent="0.25">
      <c r="A31" s="83" t="s">
        <v>182</v>
      </c>
      <c r="B31" s="494"/>
      <c r="C31" s="17"/>
      <c r="D31" s="739">
        <v>1</v>
      </c>
      <c r="E31" s="740">
        <v>500</v>
      </c>
      <c r="F31" s="30"/>
      <c r="G31" s="384"/>
      <c r="H31" s="30"/>
      <c r="I31" s="384"/>
      <c r="J31" s="902">
        <f>C13+G13+K13+C22+G22+K22+C31+G31</f>
        <v>59658000</v>
      </c>
      <c r="K31" s="903"/>
      <c r="L31" s="902">
        <f>E13+I13+M13+E22+I22+M22+E31+I31</f>
        <v>40185360</v>
      </c>
      <c r="M31" s="903"/>
    </row>
    <row r="32" spans="1:13" x14ac:dyDescent="0.25">
      <c r="A32" s="83" t="s">
        <v>183</v>
      </c>
      <c r="B32" s="494"/>
      <c r="C32" s="17"/>
      <c r="D32" s="20"/>
      <c r="E32" s="17"/>
      <c r="F32" s="30"/>
      <c r="G32" s="384"/>
      <c r="H32" s="30"/>
      <c r="I32" s="384"/>
      <c r="J32" s="902">
        <f>C14+G14+K14+C23+G23+K23+C32+G32</f>
        <v>45780000</v>
      </c>
      <c r="K32" s="903"/>
      <c r="L32" s="902">
        <f t="shared" ref="L32:L34" si="8">E14+I14+M14+E23+I23+M23+E32+I32</f>
        <v>33482280</v>
      </c>
      <c r="M32" s="903"/>
    </row>
    <row r="33" spans="1:13" x14ac:dyDescent="0.25">
      <c r="A33" s="83" t="s">
        <v>184</v>
      </c>
      <c r="B33" s="494"/>
      <c r="C33" s="17"/>
      <c r="D33" s="20"/>
      <c r="E33" s="17"/>
      <c r="F33" s="30"/>
      <c r="G33" s="384"/>
      <c r="H33" s="30"/>
      <c r="I33" s="384"/>
      <c r="J33" s="902">
        <f>C15+G15+K15+C24+G24+K24+C33+G33</f>
        <v>148314000</v>
      </c>
      <c r="K33" s="903"/>
      <c r="L33" s="902">
        <f t="shared" si="8"/>
        <v>88755600</v>
      </c>
      <c r="M33" s="903"/>
    </row>
    <row r="34" spans="1:13" x14ac:dyDescent="0.25">
      <c r="A34" s="83" t="s">
        <v>185</v>
      </c>
      <c r="B34" s="494"/>
      <c r="C34" s="17"/>
      <c r="D34" s="20"/>
      <c r="E34" s="17"/>
      <c r="F34" s="30"/>
      <c r="G34" s="384"/>
      <c r="H34" s="30"/>
      <c r="I34" s="384"/>
      <c r="J34" s="902">
        <f>C16+G16+K16+C25+G25+K25+C34+G34</f>
        <v>38102000</v>
      </c>
      <c r="K34" s="903"/>
      <c r="L34" s="902">
        <f t="shared" si="8"/>
        <v>25242800</v>
      </c>
      <c r="M34" s="903"/>
    </row>
  </sheetData>
  <mergeCells count="45">
    <mergeCell ref="J32:K32"/>
    <mergeCell ref="J33:K33"/>
    <mergeCell ref="J34:K34"/>
    <mergeCell ref="L32:M32"/>
    <mergeCell ref="L33:M33"/>
    <mergeCell ref="L34:M34"/>
    <mergeCell ref="J28:K29"/>
    <mergeCell ref="L28:M29"/>
    <mergeCell ref="J30:K30"/>
    <mergeCell ref="L30:M30"/>
    <mergeCell ref="J31:K31"/>
    <mergeCell ref="L31:M31"/>
    <mergeCell ref="L19:M19"/>
    <mergeCell ref="A27:A29"/>
    <mergeCell ref="B27:E27"/>
    <mergeCell ref="F27:I27"/>
    <mergeCell ref="J27:M27"/>
    <mergeCell ref="B28:C28"/>
    <mergeCell ref="D28:E28"/>
    <mergeCell ref="F28:G28"/>
    <mergeCell ref="H28:I28"/>
    <mergeCell ref="A18:A20"/>
    <mergeCell ref="B18:E18"/>
    <mergeCell ref="F18:I18"/>
    <mergeCell ref="J18:M18"/>
    <mergeCell ref="B19:C19"/>
    <mergeCell ref="D19:E19"/>
    <mergeCell ref="F19:G19"/>
    <mergeCell ref="H19:I19"/>
    <mergeCell ref="J19:K19"/>
    <mergeCell ref="B10:C10"/>
    <mergeCell ref="D10:E10"/>
    <mergeCell ref="F10:G10"/>
    <mergeCell ref="H10:I10"/>
    <mergeCell ref="J10:K10"/>
    <mergeCell ref="L10:M10"/>
    <mergeCell ref="A1:M1"/>
    <mergeCell ref="A2:M2"/>
    <mergeCell ref="A3:M3"/>
    <mergeCell ref="A5:M5"/>
    <mergeCell ref="A6:M6"/>
    <mergeCell ref="A9:A11"/>
    <mergeCell ref="B9:E9"/>
    <mergeCell ref="F9:I9"/>
    <mergeCell ref="J9:M9"/>
  </mergeCells>
  <pageMargins left="0.78" right="0.15748031496063" top="1.32" bottom="0.74803149606299202" header="0.78740157480314998" footer="0.31496062992126"/>
  <pageSetup paperSize="9" scale="75" orientation="portrait" horizontalDpi="4294967293" vertic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3"/>
  <sheetViews>
    <sheetView view="pageBreakPreview" topLeftCell="A8" zoomScale="80" zoomScaleNormal="80" zoomScaleSheetLayoutView="80" workbookViewId="0">
      <selection activeCell="M26" sqref="M26"/>
    </sheetView>
  </sheetViews>
  <sheetFormatPr defaultRowHeight="15" x14ac:dyDescent="0.25"/>
  <cols>
    <col min="1" max="1" width="14.28515625" customWidth="1"/>
    <col min="2" max="2" width="11.42578125" customWidth="1"/>
    <col min="3" max="3" width="16.5703125" style="97" customWidth="1"/>
    <col min="4" max="4" width="12" style="97" customWidth="1"/>
    <col min="5" max="5" width="17.42578125" style="97" customWidth="1"/>
    <col min="6" max="6" width="9.5703125" customWidth="1"/>
    <col min="7" max="7" width="19.28515625" customWidth="1"/>
    <col min="8" max="8" width="11" customWidth="1"/>
    <col min="9" max="9" width="14.7109375" style="97" customWidth="1"/>
    <col min="10" max="10" width="11.5703125" customWidth="1"/>
    <col min="11" max="11" width="14.5703125" style="97" customWidth="1"/>
    <col min="12" max="12" width="11.42578125" customWidth="1"/>
    <col min="13" max="13" width="17.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366</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96"/>
      <c r="B7" s="496"/>
      <c r="C7" s="496"/>
      <c r="D7" s="496"/>
      <c r="E7" s="496"/>
      <c r="F7" s="496"/>
      <c r="G7" s="496"/>
      <c r="H7" s="496"/>
      <c r="I7" s="496"/>
      <c r="J7" s="496"/>
      <c r="K7" s="496"/>
      <c r="L7" s="496"/>
      <c r="M7" s="496"/>
    </row>
    <row r="8" spans="1:13" s="501" customFormat="1" ht="23.25" x14ac:dyDescent="0.35">
      <c r="A8" s="497" t="s">
        <v>363</v>
      </c>
      <c r="B8" s="502"/>
      <c r="C8" s="505"/>
      <c r="D8" s="502"/>
      <c r="E8" s="505"/>
      <c r="F8" s="502"/>
      <c r="G8" s="505"/>
      <c r="H8" s="502"/>
    </row>
    <row r="9" spans="1:13" s="48" customFormat="1" ht="28.5" customHeight="1" x14ac:dyDescent="0.25">
      <c r="A9" s="906" t="s">
        <v>3</v>
      </c>
      <c r="B9" s="913" t="s">
        <v>5</v>
      </c>
      <c r="C9" s="914"/>
      <c r="D9" s="914"/>
      <c r="E9" s="915"/>
      <c r="F9" s="913" t="s">
        <v>7</v>
      </c>
      <c r="G9" s="914"/>
      <c r="H9" s="914"/>
      <c r="I9" s="915"/>
      <c r="J9" s="913" t="s">
        <v>306</v>
      </c>
      <c r="K9" s="914"/>
      <c r="L9" s="914"/>
      <c r="M9" s="915"/>
    </row>
    <row r="10" spans="1:13" ht="28.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94" t="s">
        <v>307</v>
      </c>
      <c r="C11" s="476" t="s">
        <v>60</v>
      </c>
      <c r="D11" s="494" t="s">
        <v>307</v>
      </c>
      <c r="E11" s="17" t="s">
        <v>305</v>
      </c>
      <c r="F11" s="494" t="s">
        <v>308</v>
      </c>
      <c r="G11" s="495" t="s">
        <v>60</v>
      </c>
      <c r="H11" s="494" t="s">
        <v>308</v>
      </c>
      <c r="I11" s="17" t="s">
        <v>305</v>
      </c>
      <c r="J11" s="494" t="s">
        <v>309</v>
      </c>
      <c r="K11" s="476" t="s">
        <v>60</v>
      </c>
      <c r="L11" s="494" t="s">
        <v>309</v>
      </c>
      <c r="M11" s="476" t="s">
        <v>305</v>
      </c>
    </row>
    <row r="12" spans="1:13" x14ac:dyDescent="0.25">
      <c r="A12" s="349" t="s">
        <v>81</v>
      </c>
      <c r="B12" s="477">
        <f t="shared" ref="B12:M12" si="0">SUM(B13:B16)</f>
        <v>11774</v>
      </c>
      <c r="C12" s="351">
        <f t="shared" si="0"/>
        <v>176610000</v>
      </c>
      <c r="D12" s="477">
        <f t="shared" si="0"/>
        <v>11762</v>
      </c>
      <c r="E12" s="646">
        <f t="shared" si="0"/>
        <v>131039600</v>
      </c>
      <c r="F12" s="477">
        <f t="shared" si="0"/>
        <v>580</v>
      </c>
      <c r="G12" s="351">
        <f t="shared" si="0"/>
        <v>5800000</v>
      </c>
      <c r="H12" s="477">
        <f t="shared" si="0"/>
        <v>771</v>
      </c>
      <c r="I12" s="351">
        <f t="shared" si="0"/>
        <v>3820000</v>
      </c>
      <c r="J12" s="477">
        <f t="shared" si="0"/>
        <v>6800</v>
      </c>
      <c r="K12" s="351">
        <f t="shared" si="0"/>
        <v>10608000</v>
      </c>
      <c r="L12" s="350">
        <f t="shared" si="0"/>
        <v>8010</v>
      </c>
      <c r="M12" s="351">
        <f t="shared" si="0"/>
        <v>6252192</v>
      </c>
    </row>
    <row r="13" spans="1:13" x14ac:dyDescent="0.25">
      <c r="A13" s="83" t="s">
        <v>186</v>
      </c>
      <c r="B13" s="726">
        <v>1209</v>
      </c>
      <c r="C13" s="442">
        <f t="shared" ref="C13:C16" si="1">B13*15000</f>
        <v>18135000</v>
      </c>
      <c r="D13" s="769">
        <v>1186</v>
      </c>
      <c r="E13" s="756">
        <v>13439400</v>
      </c>
      <c r="F13" s="30"/>
      <c r="G13" s="384">
        <f>F13*10000</f>
        <v>0</v>
      </c>
      <c r="H13" s="743">
        <v>35</v>
      </c>
      <c r="I13" s="744">
        <v>175000</v>
      </c>
      <c r="J13" s="723">
        <v>1000</v>
      </c>
      <c r="K13" s="730">
        <f>J13*1560</f>
        <v>1560000</v>
      </c>
      <c r="L13" s="345">
        <v>1172</v>
      </c>
      <c r="M13" s="344">
        <v>1310400</v>
      </c>
    </row>
    <row r="14" spans="1:13" x14ac:dyDescent="0.25">
      <c r="A14" s="83" t="s">
        <v>187</v>
      </c>
      <c r="B14" s="726">
        <v>3781</v>
      </c>
      <c r="C14" s="442">
        <f t="shared" si="1"/>
        <v>56715000</v>
      </c>
      <c r="D14" s="769">
        <v>3747</v>
      </c>
      <c r="E14" s="756">
        <v>42426300</v>
      </c>
      <c r="F14" s="30">
        <v>335</v>
      </c>
      <c r="G14" s="384">
        <f t="shared" ref="G14:G16" si="2">F14*10000</f>
        <v>3350000</v>
      </c>
      <c r="H14" s="743">
        <v>300</v>
      </c>
      <c r="I14" s="744">
        <v>1500000</v>
      </c>
      <c r="J14" s="723">
        <v>1500</v>
      </c>
      <c r="K14" s="730">
        <f t="shared" ref="K14:K16" si="3">J14*1560</f>
        <v>2340000</v>
      </c>
      <c r="L14" s="345">
        <v>1950</v>
      </c>
      <c r="M14" s="344">
        <v>1029600</v>
      </c>
    </row>
    <row r="15" spans="1:13" x14ac:dyDescent="0.25">
      <c r="A15" s="83" t="s">
        <v>188</v>
      </c>
      <c r="B15" s="726">
        <v>4500</v>
      </c>
      <c r="C15" s="442">
        <f t="shared" si="1"/>
        <v>67500000</v>
      </c>
      <c r="D15" s="769">
        <v>4558</v>
      </c>
      <c r="E15" s="756">
        <v>50232000</v>
      </c>
      <c r="F15" s="30"/>
      <c r="G15" s="384">
        <f t="shared" si="2"/>
        <v>0</v>
      </c>
      <c r="H15" s="743">
        <v>295</v>
      </c>
      <c r="I15" s="744">
        <v>1440000</v>
      </c>
      <c r="J15" s="723">
        <v>3000</v>
      </c>
      <c r="K15" s="730">
        <f t="shared" si="3"/>
        <v>4680000</v>
      </c>
      <c r="L15" s="345">
        <v>3352</v>
      </c>
      <c r="M15" s="344">
        <v>1497600</v>
      </c>
    </row>
    <row r="16" spans="1:13" x14ac:dyDescent="0.25">
      <c r="A16" s="83" t="s">
        <v>189</v>
      </c>
      <c r="B16" s="726">
        <v>2284</v>
      </c>
      <c r="C16" s="442">
        <f t="shared" si="1"/>
        <v>34260000</v>
      </c>
      <c r="D16" s="769">
        <v>2271</v>
      </c>
      <c r="E16" s="756">
        <v>24941900</v>
      </c>
      <c r="F16" s="30">
        <v>245</v>
      </c>
      <c r="G16" s="384">
        <f t="shared" si="2"/>
        <v>2450000</v>
      </c>
      <c r="H16" s="745">
        <v>141</v>
      </c>
      <c r="I16" s="746">
        <v>705000</v>
      </c>
      <c r="J16" s="723">
        <v>1300</v>
      </c>
      <c r="K16" s="730">
        <f t="shared" si="3"/>
        <v>2028000</v>
      </c>
      <c r="L16" s="345">
        <v>1536</v>
      </c>
      <c r="M16" s="344">
        <v>2414592</v>
      </c>
    </row>
    <row r="18" spans="1:13" s="48" customFormat="1" ht="28.5" customHeight="1" x14ac:dyDescent="0.25">
      <c r="A18" s="906" t="s">
        <v>3</v>
      </c>
      <c r="B18" s="913" t="s">
        <v>16</v>
      </c>
      <c r="C18" s="914"/>
      <c r="D18" s="914"/>
      <c r="E18" s="915"/>
      <c r="F18" s="913" t="s">
        <v>421</v>
      </c>
      <c r="G18" s="914"/>
      <c r="H18" s="914"/>
      <c r="I18" s="915"/>
      <c r="J18" s="913" t="s">
        <v>329</v>
      </c>
      <c r="K18" s="914"/>
      <c r="L18" s="914"/>
      <c r="M18" s="915"/>
    </row>
    <row r="19" spans="1:13" ht="25.5" customHeight="1" x14ac:dyDescent="0.25">
      <c r="A19" s="906"/>
      <c r="B19" s="899" t="s">
        <v>327</v>
      </c>
      <c r="C19" s="899"/>
      <c r="D19" s="900" t="s">
        <v>333</v>
      </c>
      <c r="E19" s="901"/>
      <c r="F19" s="899" t="s">
        <v>327</v>
      </c>
      <c r="G19" s="899"/>
      <c r="H19" s="900" t="s">
        <v>333</v>
      </c>
      <c r="I19" s="901"/>
      <c r="J19" s="899" t="s">
        <v>327</v>
      </c>
      <c r="K19" s="899"/>
      <c r="L19" s="900" t="s">
        <v>333</v>
      </c>
      <c r="M19" s="901"/>
    </row>
    <row r="20" spans="1:13" ht="45" customHeight="1" x14ac:dyDescent="0.25">
      <c r="A20" s="906"/>
      <c r="B20" s="494" t="s">
        <v>330</v>
      </c>
      <c r="C20" s="476" t="s">
        <v>60</v>
      </c>
      <c r="D20" s="494" t="s">
        <v>330</v>
      </c>
      <c r="E20" s="17" t="s">
        <v>305</v>
      </c>
      <c r="F20" s="494" t="s">
        <v>253</v>
      </c>
      <c r="G20" s="495" t="s">
        <v>60</v>
      </c>
      <c r="H20" s="494" t="s">
        <v>253</v>
      </c>
      <c r="I20" s="476" t="s">
        <v>305</v>
      </c>
      <c r="J20" s="494" t="s">
        <v>310</v>
      </c>
      <c r="K20" s="476" t="s">
        <v>60</v>
      </c>
      <c r="L20" s="494" t="s">
        <v>310</v>
      </c>
      <c r="M20" s="17" t="s">
        <v>305</v>
      </c>
    </row>
    <row r="21" spans="1:13" x14ac:dyDescent="0.25">
      <c r="A21" s="349" t="s">
        <v>81</v>
      </c>
      <c r="B21" s="477">
        <f t="shared" ref="B21:M21" si="4">SUM(B22:B25)</f>
        <v>1517</v>
      </c>
      <c r="C21" s="351">
        <f t="shared" si="4"/>
        <v>9102000</v>
      </c>
      <c r="D21" s="477">
        <f t="shared" si="4"/>
        <v>2680</v>
      </c>
      <c r="E21" s="351">
        <f t="shared" si="4"/>
        <v>16080000</v>
      </c>
      <c r="F21" s="477">
        <f t="shared" si="4"/>
        <v>5</v>
      </c>
      <c r="G21" s="351">
        <f t="shared" si="4"/>
        <v>6749560</v>
      </c>
      <c r="H21" s="477">
        <f t="shared" si="4"/>
        <v>0</v>
      </c>
      <c r="I21" s="351">
        <f t="shared" si="4"/>
        <v>0</v>
      </c>
      <c r="J21" s="477">
        <f t="shared" si="4"/>
        <v>0</v>
      </c>
      <c r="K21" s="351">
        <f t="shared" si="4"/>
        <v>0</v>
      </c>
      <c r="L21" s="350">
        <f t="shared" si="4"/>
        <v>528</v>
      </c>
      <c r="M21" s="351">
        <f t="shared" si="4"/>
        <v>2918422</v>
      </c>
    </row>
    <row r="22" spans="1:13" x14ac:dyDescent="0.25">
      <c r="A22" s="83" t="s">
        <v>186</v>
      </c>
      <c r="B22" s="723">
        <v>343</v>
      </c>
      <c r="C22" s="730">
        <f t="shared" ref="C22:C25" si="5">B22*500*12</f>
        <v>2058000</v>
      </c>
      <c r="D22" s="30">
        <v>585</v>
      </c>
      <c r="E22" s="384">
        <f>D22*6000</f>
        <v>3510000</v>
      </c>
      <c r="F22" s="30">
        <v>1</v>
      </c>
      <c r="G22" s="384">
        <v>600000</v>
      </c>
      <c r="H22" s="30"/>
      <c r="I22" s="384"/>
      <c r="J22" s="478"/>
      <c r="K22" s="386"/>
      <c r="L22" s="739">
        <v>24</v>
      </c>
      <c r="M22" s="740">
        <v>122440</v>
      </c>
    </row>
    <row r="23" spans="1:13" x14ac:dyDescent="0.25">
      <c r="A23" s="83" t="s">
        <v>187</v>
      </c>
      <c r="B23" s="723">
        <v>367</v>
      </c>
      <c r="C23" s="730">
        <f t="shared" si="5"/>
        <v>2202000</v>
      </c>
      <c r="D23" s="30">
        <v>510</v>
      </c>
      <c r="E23" s="384">
        <f t="shared" ref="E23:E25" si="6">D23*6000</f>
        <v>3060000</v>
      </c>
      <c r="F23" s="30">
        <v>1</v>
      </c>
      <c r="G23" s="384">
        <v>2149560</v>
      </c>
      <c r="H23" s="30"/>
      <c r="I23" s="384"/>
      <c r="J23" s="478"/>
      <c r="K23" s="386"/>
      <c r="L23" s="739">
        <v>80</v>
      </c>
      <c r="M23" s="740">
        <v>335940</v>
      </c>
    </row>
    <row r="24" spans="1:13" x14ac:dyDescent="0.25">
      <c r="A24" s="83" t="s">
        <v>188</v>
      </c>
      <c r="B24" s="723">
        <v>443</v>
      </c>
      <c r="C24" s="730">
        <f t="shared" si="5"/>
        <v>2658000</v>
      </c>
      <c r="D24" s="30">
        <v>918</v>
      </c>
      <c r="E24" s="384">
        <f t="shared" si="6"/>
        <v>5508000</v>
      </c>
      <c r="F24" s="30">
        <v>2</v>
      </c>
      <c r="G24" s="384">
        <f>1000000+1000000</f>
        <v>2000000</v>
      </c>
      <c r="H24" s="30"/>
      <c r="I24" s="384"/>
      <c r="J24" s="478"/>
      <c r="K24" s="386"/>
      <c r="L24" s="739">
        <v>345</v>
      </c>
      <c r="M24" s="740">
        <v>2087377</v>
      </c>
    </row>
    <row r="25" spans="1:13" x14ac:dyDescent="0.25">
      <c r="A25" s="83" t="s">
        <v>189</v>
      </c>
      <c r="B25" s="723">
        <v>364</v>
      </c>
      <c r="C25" s="730">
        <f t="shared" si="5"/>
        <v>2184000</v>
      </c>
      <c r="D25" s="30">
        <v>667</v>
      </c>
      <c r="E25" s="384">
        <f t="shared" si="6"/>
        <v>4002000</v>
      </c>
      <c r="F25" s="30">
        <v>1</v>
      </c>
      <c r="G25" s="384">
        <f>2000000</f>
        <v>2000000</v>
      </c>
      <c r="H25" s="30"/>
      <c r="I25" s="384"/>
      <c r="J25" s="478"/>
      <c r="K25" s="386"/>
      <c r="L25" s="739">
        <v>79</v>
      </c>
      <c r="M25" s="740">
        <v>372665</v>
      </c>
    </row>
    <row r="27" spans="1:13" s="48" customFormat="1" ht="28.5" customHeight="1" x14ac:dyDescent="0.25">
      <c r="A27" s="906" t="s">
        <v>3</v>
      </c>
      <c r="B27" s="913" t="s">
        <v>331</v>
      </c>
      <c r="C27" s="914"/>
      <c r="D27" s="914"/>
      <c r="E27" s="915"/>
      <c r="F27" s="913" t="s">
        <v>375</v>
      </c>
      <c r="G27" s="914"/>
      <c r="H27" s="914"/>
      <c r="I27" s="915"/>
      <c r="J27" s="913" t="s">
        <v>391</v>
      </c>
      <c r="K27" s="914"/>
      <c r="L27" s="914"/>
      <c r="M27" s="915"/>
    </row>
    <row r="28" spans="1:13" ht="24.75" customHeight="1" x14ac:dyDescent="0.25">
      <c r="A28" s="906"/>
      <c r="B28" s="899" t="s">
        <v>327</v>
      </c>
      <c r="C28" s="899"/>
      <c r="D28" s="900" t="s">
        <v>333</v>
      </c>
      <c r="E28" s="901"/>
      <c r="F28" s="899" t="s">
        <v>327</v>
      </c>
      <c r="G28" s="899"/>
      <c r="H28" s="900" t="s">
        <v>333</v>
      </c>
      <c r="I28" s="901"/>
      <c r="J28" s="899" t="s">
        <v>327</v>
      </c>
      <c r="K28" s="899"/>
      <c r="L28" s="900" t="s">
        <v>333</v>
      </c>
      <c r="M28" s="901"/>
    </row>
    <row r="29" spans="1:13" ht="45" customHeight="1" x14ac:dyDescent="0.25">
      <c r="A29" s="906"/>
      <c r="B29" s="494" t="s">
        <v>308</v>
      </c>
      <c r="C29" s="476" t="s">
        <v>60</v>
      </c>
      <c r="D29" s="494" t="s">
        <v>332</v>
      </c>
      <c r="E29" s="17" t="s">
        <v>305</v>
      </c>
      <c r="F29" s="494" t="s">
        <v>308</v>
      </c>
      <c r="G29" s="495" t="s">
        <v>60</v>
      </c>
      <c r="H29" s="494" t="s">
        <v>253</v>
      </c>
      <c r="I29" s="17" t="s">
        <v>305</v>
      </c>
      <c r="J29" s="560" t="s">
        <v>308</v>
      </c>
      <c r="K29" s="559" t="s">
        <v>60</v>
      </c>
      <c r="L29" s="560" t="s">
        <v>253</v>
      </c>
      <c r="M29" s="17" t="s">
        <v>305</v>
      </c>
    </row>
    <row r="30" spans="1:13" x14ac:dyDescent="0.25">
      <c r="A30" s="349" t="s">
        <v>81</v>
      </c>
      <c r="B30" s="477">
        <f t="shared" ref="B30:I30" si="7">SUM(B31:B34)</f>
        <v>0</v>
      </c>
      <c r="C30" s="351">
        <f t="shared" si="7"/>
        <v>0</v>
      </c>
      <c r="D30" s="477">
        <f t="shared" si="7"/>
        <v>0</v>
      </c>
      <c r="E30" s="351">
        <f t="shared" si="7"/>
        <v>0</v>
      </c>
      <c r="F30" s="477">
        <f t="shared" si="7"/>
        <v>0</v>
      </c>
      <c r="G30" s="351">
        <f t="shared" si="7"/>
        <v>0</v>
      </c>
      <c r="H30" s="477">
        <f t="shared" si="7"/>
        <v>0</v>
      </c>
      <c r="I30" s="351">
        <f t="shared" si="7"/>
        <v>0</v>
      </c>
      <c r="J30" s="477">
        <f t="shared" ref="J30:M30" si="8">SUM(J31:J34)</f>
        <v>0</v>
      </c>
      <c r="K30" s="351">
        <f t="shared" si="8"/>
        <v>0</v>
      </c>
      <c r="L30" s="477">
        <f t="shared" si="8"/>
        <v>0</v>
      </c>
      <c r="M30" s="351">
        <f t="shared" si="8"/>
        <v>0</v>
      </c>
    </row>
    <row r="31" spans="1:13" x14ac:dyDescent="0.25">
      <c r="A31" s="83" t="s">
        <v>186</v>
      </c>
      <c r="B31" s="494"/>
      <c r="C31" s="17"/>
      <c r="D31" s="20"/>
      <c r="E31" s="17"/>
      <c r="F31" s="30"/>
      <c r="G31" s="384"/>
      <c r="H31" s="30"/>
      <c r="I31" s="384"/>
      <c r="J31" s="30"/>
      <c r="K31" s="384"/>
      <c r="L31" s="30"/>
      <c r="M31" s="384"/>
    </row>
    <row r="32" spans="1:13" x14ac:dyDescent="0.25">
      <c r="A32" s="83" t="s">
        <v>187</v>
      </c>
      <c r="B32" s="494"/>
      <c r="C32" s="17"/>
      <c r="D32" s="20"/>
      <c r="E32" s="17"/>
      <c r="F32" s="30"/>
      <c r="G32" s="384"/>
      <c r="H32" s="30"/>
      <c r="I32" s="384"/>
      <c r="J32" s="30"/>
      <c r="K32" s="384"/>
      <c r="L32" s="30"/>
      <c r="M32" s="384"/>
    </row>
    <row r="33" spans="1:13" x14ac:dyDescent="0.25">
      <c r="A33" s="83" t="s">
        <v>188</v>
      </c>
      <c r="B33" s="494"/>
      <c r="C33" s="17"/>
      <c r="D33" s="20"/>
      <c r="E33" s="17"/>
      <c r="F33" s="30"/>
      <c r="G33" s="384"/>
      <c r="H33" s="30"/>
      <c r="I33" s="384"/>
      <c r="J33" s="30"/>
      <c r="K33" s="384"/>
      <c r="L33" s="30"/>
      <c r="M33" s="384"/>
    </row>
    <row r="34" spans="1:13" x14ac:dyDescent="0.25">
      <c r="A34" s="83" t="s">
        <v>189</v>
      </c>
      <c r="B34" s="494"/>
      <c r="C34" s="17"/>
      <c r="D34" s="20"/>
      <c r="E34" s="17"/>
      <c r="F34" s="30"/>
      <c r="G34" s="384"/>
      <c r="H34" s="30"/>
      <c r="I34" s="384"/>
      <c r="J34" s="30"/>
      <c r="K34" s="384"/>
      <c r="L34" s="30"/>
      <c r="M34" s="384"/>
    </row>
    <row r="36" spans="1:13" x14ac:dyDescent="0.25">
      <c r="A36" s="906" t="s">
        <v>3</v>
      </c>
      <c r="B36" s="913" t="s">
        <v>81</v>
      </c>
      <c r="C36" s="914"/>
      <c r="D36" s="914"/>
      <c r="E36" s="915"/>
    </row>
    <row r="37" spans="1:13" ht="15" customHeight="1" x14ac:dyDescent="0.25">
      <c r="A37" s="906"/>
      <c r="B37" s="907" t="s">
        <v>60</v>
      </c>
      <c r="C37" s="908"/>
      <c r="D37" s="907" t="s">
        <v>305</v>
      </c>
      <c r="E37" s="908"/>
    </row>
    <row r="38" spans="1:13" x14ac:dyDescent="0.25">
      <c r="A38" s="906"/>
      <c r="B38" s="909"/>
      <c r="C38" s="910"/>
      <c r="D38" s="909"/>
      <c r="E38" s="910"/>
    </row>
    <row r="39" spans="1:13" x14ac:dyDescent="0.25">
      <c r="A39" s="349" t="s">
        <v>81</v>
      </c>
      <c r="B39" s="904">
        <f>SUM(B40:B43)</f>
        <v>208869560</v>
      </c>
      <c r="C39" s="905"/>
      <c r="D39" s="904">
        <f>SUM(D40:E43)</f>
        <v>160110214</v>
      </c>
      <c r="E39" s="905"/>
    </row>
    <row r="40" spans="1:13" x14ac:dyDescent="0.25">
      <c r="A40" s="83" t="s">
        <v>186</v>
      </c>
      <c r="B40" s="902">
        <f>C13+G13+K13+C22+G22+K22+C31+G31</f>
        <v>22353000</v>
      </c>
      <c r="C40" s="903"/>
      <c r="D40" s="902">
        <f>E13+I13+M13+E22+I22+M22+E31+I31+M31</f>
        <v>18557240</v>
      </c>
      <c r="E40" s="903"/>
    </row>
    <row r="41" spans="1:13" x14ac:dyDescent="0.25">
      <c r="A41" s="83" t="s">
        <v>187</v>
      </c>
      <c r="B41" s="902">
        <f>C14+G14+K14+C23+G23+K23+C32+G32</f>
        <v>66756560</v>
      </c>
      <c r="C41" s="903"/>
      <c r="D41" s="902">
        <f t="shared" ref="D41:D43" si="9">E14+I14+M14+E23+I23+M23+E32+I32+M32</f>
        <v>48351840</v>
      </c>
      <c r="E41" s="903"/>
    </row>
    <row r="42" spans="1:13" x14ac:dyDescent="0.25">
      <c r="A42" s="83" t="s">
        <v>188</v>
      </c>
      <c r="B42" s="902">
        <f>C15+G15+K15+C24+G24+K24+C33+G33</f>
        <v>76838000</v>
      </c>
      <c r="C42" s="903"/>
      <c r="D42" s="902">
        <f t="shared" si="9"/>
        <v>60764977</v>
      </c>
      <c r="E42" s="903"/>
    </row>
    <row r="43" spans="1:13" x14ac:dyDescent="0.25">
      <c r="A43" s="83" t="s">
        <v>189</v>
      </c>
      <c r="B43" s="902">
        <f>C16+G16+K16+C25+G25+K25+C34+G34</f>
        <v>42922000</v>
      </c>
      <c r="C43" s="903"/>
      <c r="D43" s="902">
        <f t="shared" si="9"/>
        <v>32436157</v>
      </c>
      <c r="E43" s="903"/>
    </row>
  </sheetData>
  <mergeCells count="49">
    <mergeCell ref="F19:G19"/>
    <mergeCell ref="B37:C38"/>
    <mergeCell ref="D37:E38"/>
    <mergeCell ref="B39:C39"/>
    <mergeCell ref="D39:E39"/>
    <mergeCell ref="H10:I10"/>
    <mergeCell ref="J10:K10"/>
    <mergeCell ref="L19:M19"/>
    <mergeCell ref="A27:A29"/>
    <mergeCell ref="B27:E27"/>
    <mergeCell ref="F27:I27"/>
    <mergeCell ref="B28:C28"/>
    <mergeCell ref="D28:E28"/>
    <mergeCell ref="F28:G28"/>
    <mergeCell ref="H28:I28"/>
    <mergeCell ref="A18:A20"/>
    <mergeCell ref="B18:E18"/>
    <mergeCell ref="F18:I18"/>
    <mergeCell ref="J18:M18"/>
    <mergeCell ref="B19:C19"/>
    <mergeCell ref="D19:E19"/>
    <mergeCell ref="A36:A38"/>
    <mergeCell ref="L10:M10"/>
    <mergeCell ref="A1:M1"/>
    <mergeCell ref="A2:M2"/>
    <mergeCell ref="A3:M3"/>
    <mergeCell ref="A5:M5"/>
    <mergeCell ref="A6:M6"/>
    <mergeCell ref="A9:A11"/>
    <mergeCell ref="B9:E9"/>
    <mergeCell ref="F9:I9"/>
    <mergeCell ref="J9:M9"/>
    <mergeCell ref="H19:I19"/>
    <mergeCell ref="J19:K19"/>
    <mergeCell ref="B10:C10"/>
    <mergeCell ref="D10:E10"/>
    <mergeCell ref="F10:G10"/>
    <mergeCell ref="D43:E43"/>
    <mergeCell ref="J27:M27"/>
    <mergeCell ref="J28:K28"/>
    <mergeCell ref="L28:M28"/>
    <mergeCell ref="D41:E41"/>
    <mergeCell ref="D42:E42"/>
    <mergeCell ref="B36:E36"/>
    <mergeCell ref="B40:C40"/>
    <mergeCell ref="D40:E40"/>
    <mergeCell ref="B41:C41"/>
    <mergeCell ref="B42:C42"/>
    <mergeCell ref="B43:C43"/>
  </mergeCells>
  <pageMargins left="1.1399999999999999" right="0.15748031496063" top="1.19" bottom="0.15748031496063" header="0.78740157480314998" footer="0.31496062992126"/>
  <pageSetup paperSize="9" scale="80" orientation="portrait" horizontalDpi="4294967293"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30"/>
  <sheetViews>
    <sheetView topLeftCell="A198" workbookViewId="0">
      <selection activeCell="G208" sqref="G208:H217"/>
    </sheetView>
  </sheetViews>
  <sheetFormatPr defaultRowHeight="15" x14ac:dyDescent="0.25"/>
  <cols>
    <col min="1" max="1" width="30.85546875" customWidth="1"/>
    <col min="2" max="2" width="42" customWidth="1"/>
    <col min="3" max="3" width="13.42578125" customWidth="1"/>
    <col min="4" max="4" width="18.5703125" customWidth="1"/>
    <col min="5" max="5" width="10.85546875" customWidth="1"/>
    <col min="6" max="6" width="16.42578125" style="97" customWidth="1"/>
    <col min="7" max="7" width="11.140625" customWidth="1"/>
    <col min="8" max="8" width="17.42578125" customWidth="1"/>
    <col min="10" max="10" width="15.5703125" style="97" customWidth="1"/>
  </cols>
  <sheetData>
    <row r="1" spans="1:10" x14ac:dyDescent="0.25">
      <c r="A1" s="858" t="s">
        <v>39</v>
      </c>
      <c r="B1" s="858"/>
      <c r="C1" s="858"/>
      <c r="D1" s="858"/>
      <c r="E1" s="858"/>
      <c r="F1" s="858"/>
      <c r="G1" s="858"/>
      <c r="H1" s="858"/>
      <c r="I1" s="858"/>
      <c r="J1" s="858"/>
    </row>
    <row r="2" spans="1:10" x14ac:dyDescent="0.25">
      <c r="A2" s="858" t="s">
        <v>40</v>
      </c>
      <c r="B2" s="858"/>
      <c r="C2" s="858"/>
      <c r="D2" s="858"/>
      <c r="E2" s="858"/>
      <c r="F2" s="858"/>
      <c r="G2" s="858"/>
      <c r="H2" s="858"/>
      <c r="I2" s="858"/>
      <c r="J2" s="858"/>
    </row>
    <row r="3" spans="1:10" x14ac:dyDescent="0.25">
      <c r="A3" s="415"/>
      <c r="B3" s="415"/>
      <c r="C3" s="415"/>
      <c r="D3" s="415"/>
      <c r="E3" s="415"/>
      <c r="F3" s="415"/>
      <c r="G3" s="415"/>
      <c r="H3" s="415"/>
      <c r="I3" s="415"/>
      <c r="J3" s="415"/>
    </row>
    <row r="4" spans="1:10" s="414" customFormat="1" ht="21" x14ac:dyDescent="0.35">
      <c r="A4" s="866" t="s">
        <v>319</v>
      </c>
      <c r="B4" s="866"/>
      <c r="C4" s="866"/>
      <c r="D4" s="866"/>
      <c r="E4" s="866"/>
      <c r="F4" s="866"/>
      <c r="G4" s="866"/>
      <c r="H4" s="866"/>
      <c r="I4" s="866"/>
      <c r="J4" s="866"/>
    </row>
    <row r="5" spans="1:10" s="48" customFormat="1" x14ac:dyDescent="0.25"/>
    <row r="6" spans="1:10" s="48" customFormat="1" x14ac:dyDescent="0.25">
      <c r="F6" s="91"/>
      <c r="J6" s="91"/>
    </row>
    <row r="7" spans="1:10" s="3" customFormat="1" ht="30" customHeight="1" x14ac:dyDescent="0.25">
      <c r="A7" s="859" t="s">
        <v>0</v>
      </c>
      <c r="B7" s="860" t="s">
        <v>51</v>
      </c>
      <c r="C7" s="859" t="s">
        <v>4</v>
      </c>
      <c r="D7" s="862" t="s">
        <v>3</v>
      </c>
      <c r="E7" s="864" t="s">
        <v>324</v>
      </c>
      <c r="F7" s="865"/>
      <c r="G7" s="864" t="s">
        <v>315</v>
      </c>
      <c r="H7" s="865"/>
      <c r="I7" s="919" t="s">
        <v>325</v>
      </c>
      <c r="J7" s="920"/>
    </row>
    <row r="8" spans="1:10" s="3" customFormat="1" ht="21" customHeight="1" x14ac:dyDescent="0.25">
      <c r="A8" s="859"/>
      <c r="B8" s="861"/>
      <c r="C8" s="859"/>
      <c r="D8" s="863"/>
      <c r="E8" s="419" t="s">
        <v>48</v>
      </c>
      <c r="F8" s="417" t="s">
        <v>1</v>
      </c>
      <c r="G8" s="420" t="s">
        <v>48</v>
      </c>
      <c r="H8" s="420" t="s">
        <v>60</v>
      </c>
      <c r="I8" s="420" t="s">
        <v>48</v>
      </c>
      <c r="J8" s="449" t="s">
        <v>60</v>
      </c>
    </row>
    <row r="9" spans="1:10" s="12" customFormat="1" ht="20.25" customHeight="1" x14ac:dyDescent="0.25">
      <c r="A9" s="10" t="s">
        <v>14</v>
      </c>
      <c r="B9" s="10"/>
      <c r="C9" s="11"/>
      <c r="D9" s="11"/>
      <c r="E9" s="14"/>
      <c r="F9" s="139">
        <f>F11+F29+F47+F65+F84+F102+F125+F164+F183</f>
        <v>188114422.36000001</v>
      </c>
      <c r="G9" s="11"/>
      <c r="H9" s="139">
        <f>H11+H29+H47+H65+H84+H102+H125+H164+H183+H201</f>
        <v>323037587.5</v>
      </c>
      <c r="I9" s="11"/>
      <c r="J9" s="139">
        <f>J11+J29+J47+J65+J84+J102+J125+J164+J183</f>
        <v>70752150</v>
      </c>
    </row>
    <row r="10" spans="1:10" s="8" customFormat="1" ht="8.25" customHeight="1" x14ac:dyDescent="0.25">
      <c r="A10" s="7"/>
      <c r="B10" s="7"/>
      <c r="C10" s="7"/>
      <c r="D10" s="7"/>
      <c r="E10" s="7"/>
      <c r="F10" s="93"/>
      <c r="G10" s="7"/>
      <c r="H10" s="7"/>
      <c r="I10" s="7"/>
      <c r="J10" s="93"/>
    </row>
    <row r="11" spans="1:10" s="3" customFormat="1" ht="20.25" customHeight="1" x14ac:dyDescent="0.25">
      <c r="A11" s="926" t="s">
        <v>5</v>
      </c>
      <c r="B11" s="831" t="s">
        <v>50</v>
      </c>
      <c r="C11" s="967" t="s">
        <v>21</v>
      </c>
      <c r="D11" s="155" t="s">
        <v>81</v>
      </c>
      <c r="E11" s="155">
        <f t="shared" ref="E11:J11" si="0">E12+E17</f>
        <v>18052</v>
      </c>
      <c r="F11" s="156">
        <f t="shared" si="0"/>
        <v>161668900</v>
      </c>
      <c r="G11" s="155">
        <f t="shared" si="0"/>
        <v>18556</v>
      </c>
      <c r="H11" s="156">
        <f t="shared" si="0"/>
        <v>278340000</v>
      </c>
      <c r="I11" s="155">
        <f t="shared" si="0"/>
        <v>17693</v>
      </c>
      <c r="J11" s="156">
        <f t="shared" si="0"/>
        <v>70698600</v>
      </c>
    </row>
    <row r="12" spans="1:10" s="3" customFormat="1" ht="20.25" customHeight="1" x14ac:dyDescent="0.25">
      <c r="A12" s="1037"/>
      <c r="B12" s="832"/>
      <c r="C12" s="968"/>
      <c r="D12" s="70" t="s">
        <v>79</v>
      </c>
      <c r="E12" s="70">
        <f t="shared" ref="E12:J12" si="1">SUM(E13:E16)</f>
        <v>6274</v>
      </c>
      <c r="F12" s="84">
        <f t="shared" si="1"/>
        <v>56015000</v>
      </c>
      <c r="G12" s="70">
        <f t="shared" si="1"/>
        <v>6353</v>
      </c>
      <c r="H12" s="71">
        <f t="shared" si="1"/>
        <v>95295000</v>
      </c>
      <c r="I12" s="70">
        <f t="shared" si="1"/>
        <v>6026</v>
      </c>
      <c r="J12" s="84">
        <f t="shared" si="1"/>
        <v>22817800</v>
      </c>
    </row>
    <row r="13" spans="1:10" s="2" customFormat="1" ht="14.25" customHeight="1" x14ac:dyDescent="0.25">
      <c r="A13" s="191"/>
      <c r="B13" s="832"/>
      <c r="C13" s="4"/>
      <c r="D13" s="83" t="s">
        <v>190</v>
      </c>
      <c r="E13" s="426">
        <v>942</v>
      </c>
      <c r="F13" s="440">
        <v>6962600</v>
      </c>
      <c r="G13" s="426">
        <v>964</v>
      </c>
      <c r="H13" s="100">
        <f>G13*15000</f>
        <v>14460000</v>
      </c>
      <c r="I13" s="426">
        <v>934</v>
      </c>
      <c r="J13" s="442">
        <f>'[1]updated may 7_FMS'!I152</f>
        <v>3556200</v>
      </c>
    </row>
    <row r="14" spans="1:10" s="2" customFormat="1" ht="14.25" customHeight="1" x14ac:dyDescent="0.25">
      <c r="A14" s="918"/>
      <c r="B14" s="832"/>
      <c r="C14" s="4"/>
      <c r="D14" s="83" t="s">
        <v>191</v>
      </c>
      <c r="E14" s="426">
        <v>2069</v>
      </c>
      <c r="F14" s="440">
        <v>19552800</v>
      </c>
      <c r="G14" s="426">
        <v>2096</v>
      </c>
      <c r="H14" s="100">
        <f>G14*15000</f>
        <v>31440000</v>
      </c>
      <c r="I14" s="426">
        <v>1985</v>
      </c>
      <c r="J14" s="442">
        <f>'[1]updated may 7_FMS'!I153</f>
        <v>7714300</v>
      </c>
    </row>
    <row r="15" spans="1:10" s="2" customFormat="1" ht="14.25" customHeight="1" x14ac:dyDescent="0.25">
      <c r="A15" s="918"/>
      <c r="B15" s="832"/>
      <c r="C15" s="4"/>
      <c r="D15" s="83" t="s">
        <v>192</v>
      </c>
      <c r="E15" s="426">
        <v>1064</v>
      </c>
      <c r="F15" s="440">
        <v>8724100</v>
      </c>
      <c r="G15" s="426">
        <v>1081</v>
      </c>
      <c r="H15" s="100">
        <f>G15*15000</f>
        <v>16215000</v>
      </c>
      <c r="I15" s="426">
        <v>1007</v>
      </c>
      <c r="J15" s="442">
        <f>'[1]updated may 7_FMS'!I154</f>
        <v>3789900</v>
      </c>
    </row>
    <row r="16" spans="1:10" s="2" customFormat="1" ht="14.25" customHeight="1" x14ac:dyDescent="0.25">
      <c r="A16" s="918"/>
      <c r="B16" s="832"/>
      <c r="C16" s="4"/>
      <c r="D16" s="83" t="s">
        <v>193</v>
      </c>
      <c r="E16" s="426">
        <v>2199</v>
      </c>
      <c r="F16" s="440">
        <v>20775500</v>
      </c>
      <c r="G16" s="426">
        <v>2212</v>
      </c>
      <c r="H16" s="100">
        <f>G16*15000</f>
        <v>33180000</v>
      </c>
      <c r="I16" s="426">
        <v>2100</v>
      </c>
      <c r="J16" s="442">
        <f>'[1]updated may 7_FMS'!I155</f>
        <v>7757400</v>
      </c>
    </row>
    <row r="17" spans="1:10" s="2" customFormat="1" ht="21" customHeight="1" x14ac:dyDescent="0.25">
      <c r="A17" s="77"/>
      <c r="B17" s="832"/>
      <c r="C17" s="63"/>
      <c r="D17" s="70" t="s">
        <v>80</v>
      </c>
      <c r="E17" s="70">
        <f t="shared" ref="E17:J17" si="2">SUM(E18:E27)</f>
        <v>11778</v>
      </c>
      <c r="F17" s="84">
        <f t="shared" si="2"/>
        <v>105653900</v>
      </c>
      <c r="G17" s="70">
        <f t="shared" si="2"/>
        <v>12203</v>
      </c>
      <c r="H17" s="84">
        <f t="shared" si="2"/>
        <v>183045000</v>
      </c>
      <c r="I17" s="70">
        <f t="shared" si="2"/>
        <v>11667</v>
      </c>
      <c r="J17" s="84">
        <f t="shared" si="2"/>
        <v>47880800</v>
      </c>
    </row>
    <row r="18" spans="1:10" s="2" customFormat="1" ht="14.25" customHeight="1" x14ac:dyDescent="0.25">
      <c r="A18" s="77"/>
      <c r="B18" s="832"/>
      <c r="C18" s="4"/>
      <c r="D18" s="83" t="s">
        <v>194</v>
      </c>
      <c r="E18" s="426">
        <v>1766</v>
      </c>
      <c r="F18" s="440">
        <v>19133000</v>
      </c>
      <c r="G18" s="426">
        <v>1791</v>
      </c>
      <c r="H18" s="100">
        <f t="shared" ref="H18:H27" si="3">G18*15000</f>
        <v>26865000</v>
      </c>
      <c r="I18" s="426">
        <v>1737</v>
      </c>
      <c r="J18" s="100">
        <f>'[1]updated may 7_FMS'!I157</f>
        <v>7004500</v>
      </c>
    </row>
    <row r="19" spans="1:10" s="2" customFormat="1" ht="14.25" customHeight="1" x14ac:dyDescent="0.25">
      <c r="A19" s="77"/>
      <c r="B19" s="75"/>
      <c r="C19" s="4"/>
      <c r="D19" s="83" t="s">
        <v>195</v>
      </c>
      <c r="E19" s="426">
        <v>1061</v>
      </c>
      <c r="F19" s="440">
        <v>11613400</v>
      </c>
      <c r="G19" s="426">
        <v>1073</v>
      </c>
      <c r="H19" s="100">
        <f t="shared" si="3"/>
        <v>16095000</v>
      </c>
      <c r="I19" s="426">
        <v>1043</v>
      </c>
      <c r="J19" s="100">
        <f>'[1]updated may 7_FMS'!I158</f>
        <v>4313700</v>
      </c>
    </row>
    <row r="20" spans="1:10" s="2" customFormat="1" ht="14.25" customHeight="1" x14ac:dyDescent="0.25">
      <c r="A20" s="77"/>
      <c r="B20" s="75"/>
      <c r="C20" s="4"/>
      <c r="D20" s="83" t="s">
        <v>196</v>
      </c>
      <c r="E20" s="426">
        <v>907</v>
      </c>
      <c r="F20" s="440">
        <v>7722400</v>
      </c>
      <c r="G20" s="426">
        <v>947</v>
      </c>
      <c r="H20" s="100">
        <f t="shared" si="3"/>
        <v>14205000</v>
      </c>
      <c r="I20" s="426">
        <v>901</v>
      </c>
      <c r="J20" s="100">
        <f>'[1]updated may 7_FMS'!I159</f>
        <v>3798400</v>
      </c>
    </row>
    <row r="21" spans="1:10" s="2" customFormat="1" ht="14.25" customHeight="1" x14ac:dyDescent="0.25">
      <c r="A21" s="77"/>
      <c r="B21" s="75"/>
      <c r="C21" s="4"/>
      <c r="D21" s="83" t="s">
        <v>11</v>
      </c>
      <c r="E21" s="426">
        <v>1082</v>
      </c>
      <c r="F21" s="440">
        <v>8921500</v>
      </c>
      <c r="G21" s="426">
        <v>1116</v>
      </c>
      <c r="H21" s="100">
        <f t="shared" si="3"/>
        <v>16740000</v>
      </c>
      <c r="I21" s="426">
        <v>1068</v>
      </c>
      <c r="J21" s="100">
        <f>'[1]updated may 7_FMS'!I160</f>
        <v>4318500</v>
      </c>
    </row>
    <row r="22" spans="1:10" s="2" customFormat="1" ht="14.25" customHeight="1" x14ac:dyDescent="0.25">
      <c r="A22" s="77"/>
      <c r="B22" s="75"/>
      <c r="C22" s="4"/>
      <c r="D22" s="83" t="s">
        <v>12</v>
      </c>
      <c r="E22" s="426">
        <v>1295</v>
      </c>
      <c r="F22" s="440">
        <v>10211900</v>
      </c>
      <c r="G22" s="426">
        <v>1343</v>
      </c>
      <c r="H22" s="100">
        <f t="shared" si="3"/>
        <v>20145000</v>
      </c>
      <c r="I22" s="426">
        <v>1273</v>
      </c>
      <c r="J22" s="100">
        <f>'[1]updated may 7_FMS'!I161</f>
        <v>5116700</v>
      </c>
    </row>
    <row r="23" spans="1:10" s="2" customFormat="1" ht="14.25" customHeight="1" x14ac:dyDescent="0.25">
      <c r="A23" s="77"/>
      <c r="B23" s="75"/>
      <c r="C23" s="4"/>
      <c r="D23" s="83" t="s">
        <v>197</v>
      </c>
      <c r="E23" s="426">
        <v>1593</v>
      </c>
      <c r="F23" s="440">
        <v>14522000</v>
      </c>
      <c r="G23" s="426">
        <v>1671</v>
      </c>
      <c r="H23" s="100">
        <f t="shared" si="3"/>
        <v>25065000</v>
      </c>
      <c r="I23" s="426">
        <v>1604</v>
      </c>
      <c r="J23" s="100">
        <f>'[1]updated may 7_FMS'!I162</f>
        <v>6559500</v>
      </c>
    </row>
    <row r="24" spans="1:10" s="2" customFormat="1" ht="14.25" customHeight="1" x14ac:dyDescent="0.25">
      <c r="A24" s="77"/>
      <c r="B24" s="75"/>
      <c r="C24" s="4"/>
      <c r="D24" s="83" t="s">
        <v>147</v>
      </c>
      <c r="E24" s="426">
        <v>673</v>
      </c>
      <c r="F24" s="440">
        <v>5146700</v>
      </c>
      <c r="G24" s="426">
        <v>697</v>
      </c>
      <c r="H24" s="100">
        <f t="shared" si="3"/>
        <v>10455000</v>
      </c>
      <c r="I24" s="426">
        <v>665</v>
      </c>
      <c r="J24" s="100">
        <f>'[1]updated may 7_FMS'!I163</f>
        <v>2712800</v>
      </c>
    </row>
    <row r="25" spans="1:10" s="2" customFormat="1" ht="14.25" customHeight="1" x14ac:dyDescent="0.25">
      <c r="A25" s="77"/>
      <c r="B25" s="75"/>
      <c r="C25" s="4"/>
      <c r="D25" s="83" t="s">
        <v>198</v>
      </c>
      <c r="E25" s="426">
        <v>591</v>
      </c>
      <c r="F25" s="440">
        <v>5118300</v>
      </c>
      <c r="G25" s="426">
        <v>616</v>
      </c>
      <c r="H25" s="100">
        <f t="shared" si="3"/>
        <v>9240000</v>
      </c>
      <c r="I25" s="426">
        <v>584</v>
      </c>
      <c r="J25" s="100">
        <f>'[1]updated may 7_FMS'!I164</f>
        <v>2304800</v>
      </c>
    </row>
    <row r="26" spans="1:10" s="2" customFormat="1" ht="14.25" customHeight="1" x14ac:dyDescent="0.25">
      <c r="A26" s="77"/>
      <c r="B26" s="75"/>
      <c r="C26" s="4"/>
      <c r="D26" s="83" t="s">
        <v>199</v>
      </c>
      <c r="E26" s="426">
        <v>695</v>
      </c>
      <c r="F26" s="440">
        <v>5915400</v>
      </c>
      <c r="G26" s="426">
        <v>729</v>
      </c>
      <c r="H26" s="100">
        <f t="shared" si="3"/>
        <v>10935000</v>
      </c>
      <c r="I26" s="426">
        <v>686</v>
      </c>
      <c r="J26" s="100">
        <f>'[1]updated may 7_FMS'!I165</f>
        <v>2873100</v>
      </c>
    </row>
    <row r="27" spans="1:10" s="2" customFormat="1" ht="14.25" customHeight="1" x14ac:dyDescent="0.25">
      <c r="A27" s="77"/>
      <c r="B27" s="75"/>
      <c r="C27" s="4"/>
      <c r="D27" s="83" t="s">
        <v>200</v>
      </c>
      <c r="E27" s="426">
        <v>2115</v>
      </c>
      <c r="F27" s="440">
        <v>17349300</v>
      </c>
      <c r="G27" s="426">
        <v>2220</v>
      </c>
      <c r="H27" s="100">
        <f t="shared" si="3"/>
        <v>33300000</v>
      </c>
      <c r="I27" s="426">
        <v>2106</v>
      </c>
      <c r="J27" s="100">
        <f>'[1]updated may 7_FMS'!I166</f>
        <v>8878800</v>
      </c>
    </row>
    <row r="28" spans="1:10" s="8" customFormat="1" ht="8.25" customHeight="1" x14ac:dyDescent="0.25">
      <c r="A28" s="7"/>
      <c r="B28" s="7"/>
      <c r="C28" s="7"/>
      <c r="D28" s="7"/>
      <c r="E28" s="7"/>
      <c r="F28" s="93"/>
      <c r="G28" s="7"/>
      <c r="H28" s="7"/>
      <c r="I28" s="7"/>
      <c r="J28" s="93"/>
    </row>
    <row r="29" spans="1:10" s="9" customFormat="1" ht="18.75" customHeight="1" x14ac:dyDescent="0.25">
      <c r="A29" s="926" t="s">
        <v>61</v>
      </c>
      <c r="B29" s="831" t="s">
        <v>62</v>
      </c>
      <c r="C29" s="967" t="s">
        <v>21</v>
      </c>
      <c r="D29" s="155" t="s">
        <v>81</v>
      </c>
      <c r="E29" s="157" t="s">
        <v>209</v>
      </c>
      <c r="F29" s="158">
        <f>F30+F35</f>
        <v>1008400</v>
      </c>
      <c r="G29" s="157">
        <f>G30+G35</f>
        <v>0</v>
      </c>
      <c r="H29" s="158">
        <f>H30+H35</f>
        <v>0</v>
      </c>
      <c r="I29" s="157">
        <f>I30+I35</f>
        <v>0</v>
      </c>
      <c r="J29" s="158">
        <f>J30+J35</f>
        <v>0</v>
      </c>
    </row>
    <row r="30" spans="1:10" s="3" customFormat="1" ht="18.75" customHeight="1" x14ac:dyDescent="0.25">
      <c r="A30" s="1037"/>
      <c r="B30" s="832"/>
      <c r="C30" s="968"/>
      <c r="D30" s="70" t="s">
        <v>79</v>
      </c>
      <c r="E30" s="70">
        <f t="shared" ref="E30:J30" si="4">SUM(E31:E34)</f>
        <v>182</v>
      </c>
      <c r="F30" s="84">
        <f t="shared" si="4"/>
        <v>1008400</v>
      </c>
      <c r="G30" s="70">
        <f t="shared" si="4"/>
        <v>0</v>
      </c>
      <c r="H30" s="71">
        <f t="shared" si="4"/>
        <v>0</v>
      </c>
      <c r="I30" s="70">
        <f t="shared" si="4"/>
        <v>0</v>
      </c>
      <c r="J30" s="84">
        <f t="shared" si="4"/>
        <v>0</v>
      </c>
    </row>
    <row r="31" spans="1:10" s="2" customFormat="1" ht="14.25" customHeight="1" x14ac:dyDescent="0.25">
      <c r="A31" s="191"/>
      <c r="B31" s="832"/>
      <c r="C31" s="4"/>
      <c r="D31" s="83" t="s">
        <v>190</v>
      </c>
      <c r="E31" s="30"/>
      <c r="F31" s="37"/>
      <c r="G31" s="4"/>
      <c r="H31" s="17"/>
      <c r="I31" s="416"/>
      <c r="J31" s="17"/>
    </row>
    <row r="32" spans="1:10" s="2" customFormat="1" ht="14.25" customHeight="1" x14ac:dyDescent="0.25">
      <c r="A32" s="918"/>
      <c r="B32" s="832"/>
      <c r="C32" s="4"/>
      <c r="D32" s="83" t="s">
        <v>191</v>
      </c>
      <c r="E32" s="30">
        <v>138</v>
      </c>
      <c r="F32" s="37">
        <v>799600</v>
      </c>
      <c r="G32" s="4"/>
      <c r="H32" s="17"/>
      <c r="I32" s="416"/>
      <c r="J32" s="17"/>
    </row>
    <row r="33" spans="1:10" s="2" customFormat="1" ht="14.25" customHeight="1" x14ac:dyDescent="0.25">
      <c r="A33" s="918"/>
      <c r="B33" s="832"/>
      <c r="C33" s="4"/>
      <c r="D33" s="83" t="s">
        <v>192</v>
      </c>
      <c r="E33" s="30">
        <v>44</v>
      </c>
      <c r="F33" s="37">
        <v>208800</v>
      </c>
      <c r="G33" s="4"/>
      <c r="H33" s="17"/>
      <c r="I33" s="416"/>
      <c r="J33" s="17"/>
    </row>
    <row r="34" spans="1:10" s="2" customFormat="1" ht="14.25" customHeight="1" x14ac:dyDescent="0.25">
      <c r="A34" s="918"/>
      <c r="B34" s="832"/>
      <c r="C34" s="4"/>
      <c r="D34" s="83" t="s">
        <v>193</v>
      </c>
      <c r="E34" s="30"/>
      <c r="F34" s="37"/>
      <c r="G34" s="4"/>
      <c r="H34" s="17"/>
      <c r="I34" s="416"/>
      <c r="J34" s="17"/>
    </row>
    <row r="35" spans="1:10" s="2" customFormat="1" ht="18.75" customHeight="1" x14ac:dyDescent="0.25">
      <c r="A35" s="77"/>
      <c r="B35" s="832"/>
      <c r="C35" s="63"/>
      <c r="D35" s="70" t="s">
        <v>80</v>
      </c>
      <c r="E35" s="70">
        <f t="shared" ref="E35:J35" si="5">SUM(E36:E45)</f>
        <v>0</v>
      </c>
      <c r="F35" s="84">
        <f t="shared" si="5"/>
        <v>0</v>
      </c>
      <c r="G35" s="70">
        <f t="shared" si="5"/>
        <v>0</v>
      </c>
      <c r="H35" s="71">
        <f t="shared" si="5"/>
        <v>0</v>
      </c>
      <c r="I35" s="70">
        <f t="shared" si="5"/>
        <v>0</v>
      </c>
      <c r="J35" s="84">
        <f t="shared" si="5"/>
        <v>0</v>
      </c>
    </row>
    <row r="36" spans="1:10" s="2" customFormat="1" ht="14.25" customHeight="1" x14ac:dyDescent="0.25">
      <c r="A36" s="77"/>
      <c r="B36" s="832"/>
      <c r="C36" s="4"/>
      <c r="D36" s="83" t="s">
        <v>194</v>
      </c>
      <c r="E36" s="30"/>
      <c r="F36" s="37"/>
      <c r="G36" s="4"/>
      <c r="H36" s="17"/>
      <c r="I36" s="416"/>
      <c r="J36" s="17"/>
    </row>
    <row r="37" spans="1:10" s="2" customFormat="1" ht="14.25" customHeight="1" x14ac:dyDescent="0.25">
      <c r="A37" s="77"/>
      <c r="B37" s="832"/>
      <c r="C37" s="4"/>
      <c r="D37" s="83" t="s">
        <v>195</v>
      </c>
      <c r="E37" s="30"/>
      <c r="F37" s="37"/>
      <c r="G37" s="4"/>
      <c r="H37" s="17"/>
      <c r="I37" s="416"/>
      <c r="J37" s="17"/>
    </row>
    <row r="38" spans="1:10" s="2" customFormat="1" ht="14.25" customHeight="1" x14ac:dyDescent="0.25">
      <c r="A38" s="77"/>
      <c r="B38" s="832"/>
      <c r="C38" s="4"/>
      <c r="D38" s="83" t="s">
        <v>196</v>
      </c>
      <c r="E38" s="30"/>
      <c r="F38" s="37"/>
      <c r="G38" s="4"/>
      <c r="H38" s="17"/>
      <c r="I38" s="416"/>
      <c r="J38" s="17"/>
    </row>
    <row r="39" spans="1:10" s="2" customFormat="1" ht="14.25" customHeight="1" x14ac:dyDescent="0.25">
      <c r="A39" s="77"/>
      <c r="B39" s="832"/>
      <c r="C39" s="4"/>
      <c r="D39" s="83" t="s">
        <v>11</v>
      </c>
      <c r="E39" s="30"/>
      <c r="F39" s="37"/>
      <c r="G39" s="4"/>
      <c r="H39" s="17"/>
      <c r="I39" s="416"/>
      <c r="J39" s="17"/>
    </row>
    <row r="40" spans="1:10" s="2" customFormat="1" ht="14.25" customHeight="1" x14ac:dyDescent="0.25">
      <c r="A40" s="77"/>
      <c r="B40" s="832"/>
      <c r="C40" s="4"/>
      <c r="D40" s="83" t="s">
        <v>12</v>
      </c>
      <c r="E40" s="30"/>
      <c r="F40" s="37"/>
      <c r="G40" s="4"/>
      <c r="H40" s="17"/>
      <c r="I40" s="416"/>
      <c r="J40" s="17"/>
    </row>
    <row r="41" spans="1:10" s="2" customFormat="1" ht="14.25" customHeight="1" x14ac:dyDescent="0.25">
      <c r="A41" s="77"/>
      <c r="B41" s="832"/>
      <c r="C41" s="4"/>
      <c r="D41" s="83" t="s">
        <v>197</v>
      </c>
      <c r="E41" s="30"/>
      <c r="F41" s="37"/>
      <c r="G41" s="4"/>
      <c r="H41" s="17"/>
      <c r="I41" s="416"/>
      <c r="J41" s="17"/>
    </row>
    <row r="42" spans="1:10" s="2" customFormat="1" ht="14.25" customHeight="1" x14ac:dyDescent="0.25">
      <c r="A42" s="77"/>
      <c r="B42" s="832"/>
      <c r="C42" s="4"/>
      <c r="D42" s="83" t="s">
        <v>147</v>
      </c>
      <c r="E42" s="30"/>
      <c r="F42" s="37"/>
      <c r="G42" s="4"/>
      <c r="H42" s="17"/>
      <c r="I42" s="416"/>
      <c r="J42" s="17"/>
    </row>
    <row r="43" spans="1:10" s="2" customFormat="1" ht="14.25" customHeight="1" x14ac:dyDescent="0.25">
      <c r="A43" s="77"/>
      <c r="B43" s="832"/>
      <c r="C43" s="4"/>
      <c r="D43" s="83" t="s">
        <v>198</v>
      </c>
      <c r="E43" s="30"/>
      <c r="F43" s="37"/>
      <c r="G43" s="4"/>
      <c r="H43" s="17"/>
      <c r="I43" s="416"/>
      <c r="J43" s="17"/>
    </row>
    <row r="44" spans="1:10" s="2" customFormat="1" ht="14.25" customHeight="1" x14ac:dyDescent="0.25">
      <c r="A44" s="77"/>
      <c r="B44" s="832"/>
      <c r="C44" s="4"/>
      <c r="D44" s="83" t="s">
        <v>199</v>
      </c>
      <c r="E44" s="30"/>
      <c r="F44" s="37"/>
      <c r="G44" s="4"/>
      <c r="H44" s="17"/>
      <c r="I44" s="416"/>
      <c r="J44" s="17"/>
    </row>
    <row r="45" spans="1:10" s="2" customFormat="1" ht="14.25" customHeight="1" x14ac:dyDescent="0.25">
      <c r="A45" s="77"/>
      <c r="B45" s="832"/>
      <c r="C45" s="4"/>
      <c r="D45" s="83" t="s">
        <v>200</v>
      </c>
      <c r="E45" s="30"/>
      <c r="F45" s="37"/>
      <c r="G45" s="4"/>
      <c r="H45" s="17"/>
      <c r="I45" s="416"/>
      <c r="J45" s="17"/>
    </row>
    <row r="46" spans="1:10" s="8" customFormat="1" ht="8.25" customHeight="1" x14ac:dyDescent="0.25">
      <c r="A46" s="7"/>
      <c r="B46" s="7"/>
      <c r="C46" s="7"/>
      <c r="D46" s="7"/>
      <c r="E46" s="7"/>
      <c r="F46" s="93"/>
      <c r="G46" s="7"/>
      <c r="H46" s="7"/>
      <c r="I46" s="7"/>
      <c r="J46" s="93"/>
    </row>
    <row r="47" spans="1:10" s="9" customFormat="1" ht="17.25" customHeight="1" x14ac:dyDescent="0.25">
      <c r="A47" s="926" t="s">
        <v>7</v>
      </c>
      <c r="B47" s="832" t="s">
        <v>52</v>
      </c>
      <c r="C47" s="967" t="s">
        <v>53</v>
      </c>
      <c r="D47" s="155" t="s">
        <v>81</v>
      </c>
      <c r="E47" s="159">
        <f t="shared" ref="E47:J47" si="6">E48+E53</f>
        <v>197</v>
      </c>
      <c r="F47" s="160">
        <f t="shared" si="6"/>
        <v>1498000</v>
      </c>
      <c r="G47" s="159">
        <f t="shared" si="6"/>
        <v>1580</v>
      </c>
      <c r="H47" s="160">
        <f t="shared" si="6"/>
        <v>7900000</v>
      </c>
      <c r="I47" s="159">
        <f t="shared" si="6"/>
        <v>5</v>
      </c>
      <c r="J47" s="160">
        <f t="shared" si="6"/>
        <v>40000</v>
      </c>
    </row>
    <row r="48" spans="1:10" s="3" customFormat="1" ht="19.5" customHeight="1" x14ac:dyDescent="0.25">
      <c r="A48" s="1037"/>
      <c r="B48" s="832"/>
      <c r="C48" s="968"/>
      <c r="D48" s="70" t="s">
        <v>79</v>
      </c>
      <c r="E48" s="70">
        <f t="shared" ref="E48:J48" si="7">SUM(E49:E52)</f>
        <v>98</v>
      </c>
      <c r="F48" s="84">
        <f t="shared" si="7"/>
        <v>765000</v>
      </c>
      <c r="G48" s="70">
        <f t="shared" si="7"/>
        <v>820</v>
      </c>
      <c r="H48" s="71">
        <f t="shared" si="7"/>
        <v>4100000</v>
      </c>
      <c r="I48" s="70">
        <f t="shared" si="7"/>
        <v>5</v>
      </c>
      <c r="J48" s="84">
        <f t="shared" si="7"/>
        <v>40000</v>
      </c>
    </row>
    <row r="49" spans="1:10" s="2" customFormat="1" ht="14.25" customHeight="1" x14ac:dyDescent="0.25">
      <c r="A49" s="191"/>
      <c r="B49" s="832"/>
      <c r="C49" s="4"/>
      <c r="D49" s="83" t="s">
        <v>190</v>
      </c>
      <c r="E49" s="30"/>
      <c r="F49" s="37"/>
      <c r="G49" s="383"/>
      <c r="H49" s="384">
        <f>G49*5000</f>
        <v>0</v>
      </c>
      <c r="I49" s="30"/>
      <c r="J49" s="384"/>
    </row>
    <row r="50" spans="1:10" s="2" customFormat="1" ht="14.25" customHeight="1" x14ac:dyDescent="0.25">
      <c r="A50" s="918"/>
      <c r="B50" s="832"/>
      <c r="C50" s="4"/>
      <c r="D50" s="83" t="s">
        <v>191</v>
      </c>
      <c r="E50" s="30">
        <f>28</f>
        <v>28</v>
      </c>
      <c r="F50" s="37">
        <f>235000</f>
        <v>235000</v>
      </c>
      <c r="G50" s="383">
        <v>400</v>
      </c>
      <c r="H50" s="384">
        <f>G50*5000</f>
        <v>2000000</v>
      </c>
      <c r="I50" s="30">
        <f>1+4</f>
        <v>5</v>
      </c>
      <c r="J50" s="384">
        <f>10000+30000</f>
        <v>40000</v>
      </c>
    </row>
    <row r="51" spans="1:10" s="2" customFormat="1" ht="14.25" customHeight="1" x14ac:dyDescent="0.25">
      <c r="A51" s="918"/>
      <c r="B51" s="832"/>
      <c r="C51" s="4"/>
      <c r="D51" s="83" t="s">
        <v>192</v>
      </c>
      <c r="E51" s="30">
        <f>20+50</f>
        <v>70</v>
      </c>
      <c r="F51" s="37">
        <f>150000+380000</f>
        <v>530000</v>
      </c>
      <c r="G51" s="383">
        <v>320</v>
      </c>
      <c r="H51" s="384">
        <f>G51*5000</f>
        <v>1600000</v>
      </c>
      <c r="I51" s="30"/>
      <c r="J51" s="384"/>
    </row>
    <row r="52" spans="1:10" s="2" customFormat="1" ht="14.25" customHeight="1" x14ac:dyDescent="0.25">
      <c r="A52" s="918"/>
      <c r="B52" s="832"/>
      <c r="C52" s="4"/>
      <c r="D52" s="83" t="s">
        <v>193</v>
      </c>
      <c r="E52" s="30"/>
      <c r="F52" s="37"/>
      <c r="G52" s="383">
        <v>100</v>
      </c>
      <c r="H52" s="384">
        <f>G52*5000</f>
        <v>500000</v>
      </c>
      <c r="I52" s="30"/>
      <c r="J52" s="384"/>
    </row>
    <row r="53" spans="1:10" s="2" customFormat="1" ht="17.25" customHeight="1" x14ac:dyDescent="0.25">
      <c r="A53" s="77"/>
      <c r="B53" s="832"/>
      <c r="C53" s="63"/>
      <c r="D53" s="70" t="s">
        <v>80</v>
      </c>
      <c r="E53" s="70">
        <f t="shared" ref="E53:J53" si="8">SUM(E54:E63)</f>
        <v>99</v>
      </c>
      <c r="F53" s="84">
        <f t="shared" si="8"/>
        <v>733000</v>
      </c>
      <c r="G53" s="70">
        <f t="shared" si="8"/>
        <v>760</v>
      </c>
      <c r="H53" s="71">
        <f t="shared" si="8"/>
        <v>3800000</v>
      </c>
      <c r="I53" s="70">
        <f t="shared" si="8"/>
        <v>0</v>
      </c>
      <c r="J53" s="84">
        <f t="shared" si="8"/>
        <v>0</v>
      </c>
    </row>
    <row r="54" spans="1:10" s="2" customFormat="1" ht="14.25" customHeight="1" x14ac:dyDescent="0.25">
      <c r="A54" s="77"/>
      <c r="B54" s="832"/>
      <c r="C54" s="4"/>
      <c r="D54" s="83" t="s">
        <v>194</v>
      </c>
      <c r="E54" s="30">
        <f>30</f>
        <v>30</v>
      </c>
      <c r="F54" s="37">
        <f>300000</f>
        <v>300000</v>
      </c>
      <c r="G54" s="383">
        <v>100</v>
      </c>
      <c r="H54" s="384">
        <f t="shared" ref="H54:H63" si="9">G54*5000</f>
        <v>500000</v>
      </c>
      <c r="I54" s="416"/>
      <c r="J54" s="17"/>
    </row>
    <row r="55" spans="1:10" s="2" customFormat="1" ht="14.25" customHeight="1" x14ac:dyDescent="0.25">
      <c r="A55" s="77"/>
      <c r="B55" s="832"/>
      <c r="C55" s="4"/>
      <c r="D55" s="83" t="s">
        <v>195</v>
      </c>
      <c r="E55" s="30"/>
      <c r="F55" s="37"/>
      <c r="G55" s="383">
        <v>80</v>
      </c>
      <c r="H55" s="384">
        <f t="shared" si="9"/>
        <v>400000</v>
      </c>
      <c r="I55" s="416"/>
      <c r="J55" s="17"/>
    </row>
    <row r="56" spans="1:10" s="2" customFormat="1" ht="14.25" customHeight="1" x14ac:dyDescent="0.25">
      <c r="A56" s="77"/>
      <c r="B56" s="832"/>
      <c r="C56" s="4"/>
      <c r="D56" s="83" t="s">
        <v>196</v>
      </c>
      <c r="E56" s="30"/>
      <c r="F56" s="37"/>
      <c r="G56" s="383"/>
      <c r="H56" s="384">
        <f t="shared" si="9"/>
        <v>0</v>
      </c>
      <c r="I56" s="416"/>
      <c r="J56" s="17"/>
    </row>
    <row r="57" spans="1:10" s="2" customFormat="1" ht="14.25" customHeight="1" x14ac:dyDescent="0.25">
      <c r="A57" s="77"/>
      <c r="B57" s="832"/>
      <c r="C57" s="4"/>
      <c r="D57" s="83" t="s">
        <v>11</v>
      </c>
      <c r="E57" s="30">
        <f>2+50</f>
        <v>52</v>
      </c>
      <c r="F57" s="37">
        <f>18000+250000</f>
        <v>268000</v>
      </c>
      <c r="G57" s="383">
        <v>80</v>
      </c>
      <c r="H57" s="384">
        <f t="shared" si="9"/>
        <v>400000</v>
      </c>
      <c r="I57" s="416"/>
      <c r="J57" s="17"/>
    </row>
    <row r="58" spans="1:10" s="2" customFormat="1" ht="14.25" customHeight="1" x14ac:dyDescent="0.25">
      <c r="A58" s="77"/>
      <c r="B58" s="832"/>
      <c r="C58" s="4"/>
      <c r="D58" s="83" t="s">
        <v>12</v>
      </c>
      <c r="E58" s="30"/>
      <c r="F58" s="37"/>
      <c r="G58" s="383">
        <v>80</v>
      </c>
      <c r="H58" s="384">
        <f t="shared" si="9"/>
        <v>400000</v>
      </c>
      <c r="I58" s="416"/>
      <c r="J58" s="17"/>
    </row>
    <row r="59" spans="1:10" s="2" customFormat="1" ht="14.25" customHeight="1" x14ac:dyDescent="0.25">
      <c r="A59" s="77"/>
      <c r="B59" s="832"/>
      <c r="C59" s="4"/>
      <c r="D59" s="83" t="s">
        <v>197</v>
      </c>
      <c r="E59" s="30"/>
      <c r="F59" s="37"/>
      <c r="G59" s="383">
        <v>300</v>
      </c>
      <c r="H59" s="384">
        <f t="shared" si="9"/>
        <v>1500000</v>
      </c>
      <c r="I59" s="416"/>
      <c r="J59" s="17"/>
    </row>
    <row r="60" spans="1:10" s="2" customFormat="1" ht="14.25" customHeight="1" x14ac:dyDescent="0.25">
      <c r="A60" s="77"/>
      <c r="B60" s="832"/>
      <c r="C60" s="4"/>
      <c r="D60" s="83" t="s">
        <v>147</v>
      </c>
      <c r="E60" s="30">
        <f>15</f>
        <v>15</v>
      </c>
      <c r="F60" s="37">
        <f>150000</f>
        <v>150000</v>
      </c>
      <c r="G60" s="383"/>
      <c r="H60" s="384">
        <f t="shared" si="9"/>
        <v>0</v>
      </c>
      <c r="I60" s="416"/>
      <c r="J60" s="17"/>
    </row>
    <row r="61" spans="1:10" s="2" customFormat="1" ht="14.25" customHeight="1" x14ac:dyDescent="0.25">
      <c r="A61" s="77"/>
      <c r="B61" s="832"/>
      <c r="C61" s="4"/>
      <c r="D61" s="83" t="s">
        <v>198</v>
      </c>
      <c r="E61" s="30"/>
      <c r="F61" s="37"/>
      <c r="G61" s="383"/>
      <c r="H61" s="384">
        <f t="shared" si="9"/>
        <v>0</v>
      </c>
      <c r="I61" s="416"/>
      <c r="J61" s="17"/>
    </row>
    <row r="62" spans="1:10" s="2" customFormat="1" ht="14.25" customHeight="1" x14ac:dyDescent="0.25">
      <c r="A62" s="77"/>
      <c r="B62" s="832"/>
      <c r="C62" s="4"/>
      <c r="D62" s="83" t="s">
        <v>199</v>
      </c>
      <c r="E62" s="30">
        <f>2</f>
        <v>2</v>
      </c>
      <c r="F62" s="37">
        <f>15000</f>
        <v>15000</v>
      </c>
      <c r="G62" s="383"/>
      <c r="H62" s="384">
        <f t="shared" si="9"/>
        <v>0</v>
      </c>
      <c r="I62" s="416"/>
      <c r="J62" s="17"/>
    </row>
    <row r="63" spans="1:10" s="2" customFormat="1" ht="14.25" customHeight="1" x14ac:dyDescent="0.25">
      <c r="A63" s="77"/>
      <c r="B63" s="832"/>
      <c r="C63" s="4"/>
      <c r="D63" s="83" t="s">
        <v>200</v>
      </c>
      <c r="E63" s="30"/>
      <c r="F63" s="37"/>
      <c r="G63" s="383">
        <v>120</v>
      </c>
      <c r="H63" s="384">
        <f t="shared" si="9"/>
        <v>600000</v>
      </c>
      <c r="I63" s="416"/>
      <c r="J63" s="17"/>
    </row>
    <row r="64" spans="1:10" s="8" customFormat="1" ht="8.25" customHeight="1" x14ac:dyDescent="0.25">
      <c r="A64" s="7"/>
      <c r="B64" s="7"/>
      <c r="C64" s="7"/>
      <c r="D64" s="7"/>
      <c r="E64" s="7"/>
      <c r="F64" s="93"/>
      <c r="G64" s="7"/>
      <c r="H64" s="7"/>
      <c r="I64" s="7"/>
      <c r="J64" s="93"/>
    </row>
    <row r="65" spans="1:10" s="9" customFormat="1" ht="20.25" customHeight="1" x14ac:dyDescent="0.25">
      <c r="A65" s="926" t="s">
        <v>6</v>
      </c>
      <c r="B65" s="831" t="s">
        <v>54</v>
      </c>
      <c r="C65" s="856" t="s">
        <v>20</v>
      </c>
      <c r="D65" s="155" t="s">
        <v>81</v>
      </c>
      <c r="E65" s="161">
        <f t="shared" ref="E65:J65" si="10">E66+E71</f>
        <v>12657</v>
      </c>
      <c r="F65" s="158">
        <f t="shared" si="10"/>
        <v>13561260</v>
      </c>
      <c r="G65" s="161">
        <f t="shared" si="10"/>
        <v>16260</v>
      </c>
      <c r="H65" s="158">
        <f t="shared" si="10"/>
        <v>25365600</v>
      </c>
      <c r="I65" s="161">
        <f t="shared" si="10"/>
        <v>0</v>
      </c>
      <c r="J65" s="158">
        <f t="shared" si="10"/>
        <v>0</v>
      </c>
    </row>
    <row r="66" spans="1:10" s="3" customFormat="1" ht="15.75" customHeight="1" x14ac:dyDescent="0.25">
      <c r="A66" s="1037"/>
      <c r="B66" s="832"/>
      <c r="C66" s="857"/>
      <c r="D66" s="70" t="s">
        <v>79</v>
      </c>
      <c r="E66" s="70">
        <f t="shared" ref="E66:J66" si="11">SUM(E67:E70)</f>
        <v>5808</v>
      </c>
      <c r="F66" s="84">
        <f t="shared" si="11"/>
        <v>7145950</v>
      </c>
      <c r="G66" s="70">
        <f t="shared" si="11"/>
        <v>7471</v>
      </c>
      <c r="H66" s="71">
        <f t="shared" si="11"/>
        <v>11654760</v>
      </c>
      <c r="I66" s="70">
        <f t="shared" si="11"/>
        <v>0</v>
      </c>
      <c r="J66" s="84">
        <f t="shared" si="11"/>
        <v>0</v>
      </c>
    </row>
    <row r="67" spans="1:10" s="2" customFormat="1" ht="14.25" customHeight="1" x14ac:dyDescent="0.25">
      <c r="A67" s="191"/>
      <c r="B67" s="832"/>
      <c r="C67" s="857"/>
      <c r="D67" s="83" t="s">
        <v>190</v>
      </c>
      <c r="E67" s="30">
        <v>663</v>
      </c>
      <c r="F67" s="37" t="s">
        <v>205</v>
      </c>
      <c r="G67" s="4">
        <v>796</v>
      </c>
      <c r="H67" s="17">
        <v>1241760</v>
      </c>
      <c r="I67" s="416"/>
      <c r="J67" s="17"/>
    </row>
    <row r="68" spans="1:10" s="2" customFormat="1" ht="14.25" customHeight="1" x14ac:dyDescent="0.25">
      <c r="A68" s="918"/>
      <c r="B68" s="832"/>
      <c r="C68" s="857"/>
      <c r="D68" s="83" t="s">
        <v>191</v>
      </c>
      <c r="E68" s="30">
        <v>3087</v>
      </c>
      <c r="F68" s="37">
        <v>4852770</v>
      </c>
      <c r="G68" s="4">
        <v>3705</v>
      </c>
      <c r="H68" s="17">
        <v>5779800</v>
      </c>
      <c r="I68" s="416"/>
      <c r="J68" s="17"/>
    </row>
    <row r="69" spans="1:10" s="2" customFormat="1" ht="14.25" customHeight="1" x14ac:dyDescent="0.25">
      <c r="A69" s="918"/>
      <c r="B69" s="832"/>
      <c r="C69" s="857"/>
      <c r="D69" s="83" t="s">
        <v>192</v>
      </c>
      <c r="E69" s="30">
        <v>600</v>
      </c>
      <c r="F69" s="37"/>
      <c r="G69" s="4">
        <v>1220</v>
      </c>
      <c r="H69" s="17">
        <v>1903200</v>
      </c>
      <c r="I69" s="416"/>
      <c r="J69" s="17"/>
    </row>
    <row r="70" spans="1:10" s="2" customFormat="1" ht="14.25" customHeight="1" x14ac:dyDescent="0.25">
      <c r="A70" s="918"/>
      <c r="B70" s="85"/>
      <c r="C70" s="168"/>
      <c r="D70" s="83" t="s">
        <v>193</v>
      </c>
      <c r="E70" s="30">
        <v>1458</v>
      </c>
      <c r="F70" s="37">
        <v>2293180</v>
      </c>
      <c r="G70" s="4">
        <v>1750</v>
      </c>
      <c r="H70" s="17">
        <v>2730000</v>
      </c>
      <c r="I70" s="416"/>
      <c r="J70" s="17"/>
    </row>
    <row r="71" spans="1:10" s="2" customFormat="1" ht="18.75" customHeight="1" x14ac:dyDescent="0.25">
      <c r="A71" s="77"/>
      <c r="B71" s="85"/>
      <c r="C71" s="168"/>
      <c r="D71" s="70" t="s">
        <v>80</v>
      </c>
      <c r="E71" s="70">
        <f t="shared" ref="E71:J71" si="12">SUM(E72:E81)</f>
        <v>6849</v>
      </c>
      <c r="F71" s="84">
        <f t="shared" si="12"/>
        <v>6415310</v>
      </c>
      <c r="G71" s="70">
        <f t="shared" si="12"/>
        <v>8789</v>
      </c>
      <c r="H71" s="71">
        <f t="shared" si="12"/>
        <v>13710840</v>
      </c>
      <c r="I71" s="70">
        <f t="shared" si="12"/>
        <v>0</v>
      </c>
      <c r="J71" s="84">
        <f t="shared" si="12"/>
        <v>0</v>
      </c>
    </row>
    <row r="72" spans="1:10" s="2" customFormat="1" ht="14.25" customHeight="1" x14ac:dyDescent="0.25">
      <c r="A72" s="77"/>
      <c r="B72" s="85"/>
      <c r="C72" s="168"/>
      <c r="D72" s="83" t="s">
        <v>194</v>
      </c>
      <c r="E72" s="30">
        <v>1213</v>
      </c>
      <c r="F72" s="37" t="s">
        <v>205</v>
      </c>
      <c r="G72" s="4">
        <v>1456</v>
      </c>
      <c r="H72" s="17">
        <v>2271360</v>
      </c>
      <c r="I72" s="416"/>
      <c r="J72" s="17"/>
    </row>
    <row r="73" spans="1:10" s="2" customFormat="1" ht="14.25" customHeight="1" x14ac:dyDescent="0.25">
      <c r="A73" s="77"/>
      <c r="B73" s="85"/>
      <c r="C73" s="168"/>
      <c r="D73" s="83" t="s">
        <v>195</v>
      </c>
      <c r="E73" s="30">
        <v>491</v>
      </c>
      <c r="F73" s="37" t="s">
        <v>205</v>
      </c>
      <c r="G73" s="4">
        <v>589</v>
      </c>
      <c r="H73" s="17">
        <v>918840</v>
      </c>
      <c r="I73" s="416"/>
      <c r="J73" s="17"/>
    </row>
    <row r="74" spans="1:10" s="2" customFormat="1" ht="14.25" customHeight="1" x14ac:dyDescent="0.25">
      <c r="A74" s="77"/>
      <c r="B74" s="85"/>
      <c r="C74" s="168"/>
      <c r="D74" s="83" t="s">
        <v>196</v>
      </c>
      <c r="E74" s="30">
        <v>536</v>
      </c>
      <c r="F74" s="37">
        <v>842610</v>
      </c>
      <c r="G74" s="4">
        <v>643</v>
      </c>
      <c r="H74" s="17">
        <v>1003080</v>
      </c>
      <c r="I74" s="416"/>
      <c r="J74" s="17"/>
    </row>
    <row r="75" spans="1:10" s="2" customFormat="1" ht="14.25" customHeight="1" x14ac:dyDescent="0.25">
      <c r="A75" s="77"/>
      <c r="B75" s="85"/>
      <c r="C75" s="168"/>
      <c r="D75" s="83" t="s">
        <v>11</v>
      </c>
      <c r="E75" s="30">
        <v>691</v>
      </c>
      <c r="F75" s="37">
        <v>1086260</v>
      </c>
      <c r="G75" s="4">
        <v>829</v>
      </c>
      <c r="H75" s="17">
        <v>1293240</v>
      </c>
      <c r="I75" s="416"/>
      <c r="J75" s="17"/>
    </row>
    <row r="76" spans="1:10" s="2" customFormat="1" ht="14.25" customHeight="1" x14ac:dyDescent="0.25">
      <c r="A76" s="77"/>
      <c r="B76" s="85"/>
      <c r="C76" s="168"/>
      <c r="D76" s="83" t="s">
        <v>12</v>
      </c>
      <c r="E76" s="30">
        <v>614</v>
      </c>
      <c r="F76" s="37"/>
      <c r="G76" s="4">
        <v>737</v>
      </c>
      <c r="H76" s="17">
        <v>1149720</v>
      </c>
      <c r="I76" s="416"/>
      <c r="J76" s="17"/>
    </row>
    <row r="77" spans="1:10" s="2" customFormat="1" ht="14.25" customHeight="1" x14ac:dyDescent="0.25">
      <c r="A77" s="77"/>
      <c r="B77" s="85"/>
      <c r="C77" s="168"/>
      <c r="D77" s="83" t="s">
        <v>197</v>
      </c>
      <c r="E77" s="30">
        <v>885</v>
      </c>
      <c r="F77" s="37">
        <v>1391200</v>
      </c>
      <c r="G77" s="4">
        <v>1062</v>
      </c>
      <c r="H77" s="17">
        <v>1656720</v>
      </c>
      <c r="I77" s="416"/>
      <c r="J77" s="17"/>
    </row>
    <row r="78" spans="1:10" s="2" customFormat="1" ht="14.25" customHeight="1" x14ac:dyDescent="0.25">
      <c r="A78" s="77"/>
      <c r="B78" s="85"/>
      <c r="C78" s="168"/>
      <c r="D78" s="83" t="s">
        <v>147</v>
      </c>
      <c r="E78" s="30">
        <v>608</v>
      </c>
      <c r="F78" s="37">
        <v>955780</v>
      </c>
      <c r="G78" s="4">
        <v>730</v>
      </c>
      <c r="H78" s="17">
        <v>1138800</v>
      </c>
      <c r="I78" s="416"/>
      <c r="J78" s="17"/>
    </row>
    <row r="79" spans="1:10" s="2" customFormat="1" ht="14.25" customHeight="1" x14ac:dyDescent="0.25">
      <c r="A79" s="77"/>
      <c r="B79" s="85"/>
      <c r="C79" s="168"/>
      <c r="D79" s="83" t="s">
        <v>198</v>
      </c>
      <c r="E79" s="30">
        <v>450</v>
      </c>
      <c r="F79" s="37" t="s">
        <v>205</v>
      </c>
      <c r="G79" s="4">
        <v>540</v>
      </c>
      <c r="H79" s="17">
        <v>842400</v>
      </c>
      <c r="I79" s="416"/>
      <c r="J79" s="17"/>
    </row>
    <row r="80" spans="1:10" s="2" customFormat="1" ht="14.25" customHeight="1" x14ac:dyDescent="0.25">
      <c r="A80" s="112"/>
      <c r="B80" s="85"/>
      <c r="C80" s="168"/>
      <c r="D80" s="83" t="s">
        <v>199</v>
      </c>
      <c r="E80" s="30"/>
      <c r="F80" s="37"/>
      <c r="G80" s="4">
        <v>570</v>
      </c>
      <c r="H80" s="17">
        <v>889200</v>
      </c>
      <c r="I80" s="416"/>
      <c r="J80" s="17"/>
    </row>
    <row r="81" spans="1:10" s="2" customFormat="1" ht="14.25" customHeight="1" x14ac:dyDescent="0.25">
      <c r="A81" s="153"/>
      <c r="B81" s="190"/>
      <c r="C81" s="169"/>
      <c r="D81" s="83" t="s">
        <v>200</v>
      </c>
      <c r="E81" s="30">
        <v>1361</v>
      </c>
      <c r="F81" s="37">
        <v>2139460</v>
      </c>
      <c r="G81" s="4">
        <v>1633</v>
      </c>
      <c r="H81" s="17">
        <v>2547480</v>
      </c>
      <c r="I81" s="416"/>
      <c r="J81" s="17"/>
    </row>
    <row r="82" spans="1:10" s="51" customFormat="1" ht="14.25" customHeight="1" x14ac:dyDescent="0.25">
      <c r="A82" s="115"/>
      <c r="B82" s="192"/>
      <c r="C82" s="170"/>
      <c r="D82" s="116"/>
      <c r="E82" s="117"/>
      <c r="F82" s="118"/>
      <c r="H82" s="58"/>
      <c r="J82" s="58"/>
    </row>
    <row r="83" spans="1:10" s="51" customFormat="1" ht="14.25" customHeight="1" x14ac:dyDescent="0.25">
      <c r="A83" s="115"/>
      <c r="B83" s="192"/>
      <c r="C83" s="170"/>
      <c r="D83" s="116"/>
      <c r="E83" s="117"/>
      <c r="F83" s="118"/>
      <c r="H83" s="58"/>
      <c r="J83" s="58"/>
    </row>
    <row r="84" spans="1:10" s="9" customFormat="1" ht="23.25" customHeight="1" x14ac:dyDescent="0.25">
      <c r="A84" s="1048" t="s">
        <v>16</v>
      </c>
      <c r="B84" s="856" t="s">
        <v>55</v>
      </c>
      <c r="C84" s="856" t="s">
        <v>19</v>
      </c>
      <c r="D84" s="155" t="s">
        <v>81</v>
      </c>
      <c r="E84" s="161">
        <f t="shared" ref="E84:J84" si="13">E85+E90</f>
        <v>1120</v>
      </c>
      <c r="F84" s="158">
        <f t="shared" si="13"/>
        <v>4291000</v>
      </c>
      <c r="G84" s="161">
        <f t="shared" si="13"/>
        <v>1120</v>
      </c>
      <c r="H84" s="158">
        <f t="shared" si="13"/>
        <v>4291000</v>
      </c>
      <c r="I84" s="161">
        <f t="shared" si="13"/>
        <v>0</v>
      </c>
      <c r="J84" s="158">
        <f t="shared" si="13"/>
        <v>0</v>
      </c>
    </row>
    <row r="85" spans="1:10" s="3" customFormat="1" ht="21.75" customHeight="1" x14ac:dyDescent="0.25">
      <c r="A85" s="1049"/>
      <c r="B85" s="857"/>
      <c r="C85" s="857"/>
      <c r="D85" s="70" t="s">
        <v>79</v>
      </c>
      <c r="E85" s="70">
        <f t="shared" ref="E85:J85" si="14">SUM(E86:E89)</f>
        <v>296</v>
      </c>
      <c r="F85" s="84">
        <f t="shared" si="14"/>
        <v>1136000</v>
      </c>
      <c r="G85" s="70">
        <f t="shared" si="14"/>
        <v>296</v>
      </c>
      <c r="H85" s="71">
        <f t="shared" si="14"/>
        <v>1136000</v>
      </c>
      <c r="I85" s="70">
        <f t="shared" si="14"/>
        <v>0</v>
      </c>
      <c r="J85" s="84">
        <f t="shared" si="14"/>
        <v>0</v>
      </c>
    </row>
    <row r="86" spans="1:10" s="2" customFormat="1" ht="14.25" customHeight="1" x14ac:dyDescent="0.25">
      <c r="A86" s="1049"/>
      <c r="B86" s="857"/>
      <c r="C86" s="857"/>
      <c r="D86" s="83" t="s">
        <v>190</v>
      </c>
      <c r="E86" s="30">
        <v>70</v>
      </c>
      <c r="F86" s="37">
        <v>273000</v>
      </c>
      <c r="G86" s="30">
        <v>70</v>
      </c>
      <c r="H86" s="37">
        <v>273000</v>
      </c>
      <c r="I86" s="416"/>
      <c r="J86" s="17"/>
    </row>
    <row r="87" spans="1:10" s="2" customFormat="1" ht="14.25" customHeight="1" x14ac:dyDescent="0.25">
      <c r="A87" s="1049"/>
      <c r="B87" s="857"/>
      <c r="C87" s="857"/>
      <c r="D87" s="83" t="s">
        <v>191</v>
      </c>
      <c r="E87" s="30">
        <v>88</v>
      </c>
      <c r="F87" s="37">
        <v>361000</v>
      </c>
      <c r="G87" s="30">
        <v>88</v>
      </c>
      <c r="H87" s="37">
        <v>361000</v>
      </c>
      <c r="I87" s="416"/>
      <c r="J87" s="17"/>
    </row>
    <row r="88" spans="1:10" s="2" customFormat="1" ht="14.25" customHeight="1" x14ac:dyDescent="0.25">
      <c r="A88" s="342"/>
      <c r="B88" s="168"/>
      <c r="C88" s="168"/>
      <c r="D88" s="83" t="s">
        <v>192</v>
      </c>
      <c r="E88" s="30">
        <v>68</v>
      </c>
      <c r="F88" s="37">
        <v>211000</v>
      </c>
      <c r="G88" s="30">
        <v>68</v>
      </c>
      <c r="H88" s="37">
        <v>211000</v>
      </c>
      <c r="I88" s="416"/>
      <c r="J88" s="17"/>
    </row>
    <row r="89" spans="1:10" s="2" customFormat="1" ht="14.25" customHeight="1" x14ac:dyDescent="0.25">
      <c r="A89" s="342"/>
      <c r="B89" s="168"/>
      <c r="C89" s="168"/>
      <c r="D89" s="83" t="s">
        <v>193</v>
      </c>
      <c r="E89" s="30">
        <v>70</v>
      </c>
      <c r="F89" s="37">
        <v>291000</v>
      </c>
      <c r="G89" s="30">
        <v>70</v>
      </c>
      <c r="H89" s="37">
        <v>291000</v>
      </c>
      <c r="I89" s="416"/>
      <c r="J89" s="17"/>
    </row>
    <row r="90" spans="1:10" s="2" customFormat="1" ht="15" customHeight="1" x14ac:dyDescent="0.25">
      <c r="A90" s="77"/>
      <c r="B90" s="168"/>
      <c r="C90" s="168"/>
      <c r="D90" s="70" t="s">
        <v>80</v>
      </c>
      <c r="E90" s="70">
        <f t="shared" ref="E90:J90" si="15">SUM(E91:E100)</f>
        <v>824</v>
      </c>
      <c r="F90" s="84">
        <f t="shared" si="15"/>
        <v>3155000</v>
      </c>
      <c r="G90" s="70">
        <f t="shared" si="15"/>
        <v>824</v>
      </c>
      <c r="H90" s="84">
        <f t="shared" si="15"/>
        <v>3155000</v>
      </c>
      <c r="I90" s="70">
        <f t="shared" si="15"/>
        <v>0</v>
      </c>
      <c r="J90" s="84">
        <f t="shared" si="15"/>
        <v>0</v>
      </c>
    </row>
    <row r="91" spans="1:10" s="2" customFormat="1" ht="14.25" customHeight="1" x14ac:dyDescent="0.25">
      <c r="A91" s="77"/>
      <c r="B91" s="168"/>
      <c r="C91" s="168"/>
      <c r="D91" s="83" t="s">
        <v>194</v>
      </c>
      <c r="E91" s="30">
        <v>96</v>
      </c>
      <c r="F91" s="37">
        <v>373500</v>
      </c>
      <c r="G91" s="30">
        <v>96</v>
      </c>
      <c r="H91" s="37">
        <v>373500</v>
      </c>
      <c r="I91" s="416"/>
      <c r="J91" s="17"/>
    </row>
    <row r="92" spans="1:10" s="2" customFormat="1" ht="14.25" customHeight="1" x14ac:dyDescent="0.25">
      <c r="A92" s="77"/>
      <c r="B92" s="168"/>
      <c r="C92" s="168"/>
      <c r="D92" s="83" t="s">
        <v>195</v>
      </c>
      <c r="E92" s="30">
        <v>70</v>
      </c>
      <c r="F92" s="37">
        <v>297000</v>
      </c>
      <c r="G92" s="30">
        <v>70</v>
      </c>
      <c r="H92" s="37">
        <v>297000</v>
      </c>
      <c r="I92" s="416"/>
      <c r="J92" s="17"/>
    </row>
    <row r="93" spans="1:10" s="2" customFormat="1" ht="14.25" customHeight="1" x14ac:dyDescent="0.25">
      <c r="A93" s="77"/>
      <c r="B93" s="168"/>
      <c r="C93" s="168"/>
      <c r="D93" s="83" t="s">
        <v>196</v>
      </c>
      <c r="E93" s="30">
        <v>75</v>
      </c>
      <c r="F93" s="37">
        <v>280000</v>
      </c>
      <c r="G93" s="30">
        <v>75</v>
      </c>
      <c r="H93" s="37">
        <v>280000</v>
      </c>
      <c r="I93" s="416"/>
      <c r="J93" s="17"/>
    </row>
    <row r="94" spans="1:10" s="2" customFormat="1" ht="14.25" customHeight="1" x14ac:dyDescent="0.25">
      <c r="A94" s="77"/>
      <c r="B94" s="168"/>
      <c r="C94" s="168"/>
      <c r="D94" s="83" t="s">
        <v>11</v>
      </c>
      <c r="E94" s="30">
        <v>74</v>
      </c>
      <c r="F94" s="37">
        <v>304500</v>
      </c>
      <c r="G94" s="30">
        <v>74</v>
      </c>
      <c r="H94" s="37">
        <v>304500</v>
      </c>
      <c r="I94" s="416"/>
      <c r="J94" s="17"/>
    </row>
    <row r="95" spans="1:10" s="2" customFormat="1" ht="14.25" customHeight="1" x14ac:dyDescent="0.25">
      <c r="A95" s="77"/>
      <c r="B95" s="168"/>
      <c r="C95" s="168"/>
      <c r="D95" s="83" t="s">
        <v>12</v>
      </c>
      <c r="E95" s="30">
        <v>74</v>
      </c>
      <c r="F95" s="37">
        <v>270000</v>
      </c>
      <c r="G95" s="30">
        <v>74</v>
      </c>
      <c r="H95" s="37">
        <v>270000</v>
      </c>
      <c r="I95" s="416"/>
      <c r="J95" s="17"/>
    </row>
    <row r="96" spans="1:10" s="2" customFormat="1" ht="14.25" customHeight="1" x14ac:dyDescent="0.25">
      <c r="A96" s="77"/>
      <c r="B96" s="168"/>
      <c r="C96" s="168"/>
      <c r="D96" s="83" t="s">
        <v>197</v>
      </c>
      <c r="E96" s="30">
        <v>82</v>
      </c>
      <c r="F96" s="37">
        <v>297000</v>
      </c>
      <c r="G96" s="30">
        <v>82</v>
      </c>
      <c r="H96" s="37">
        <v>297000</v>
      </c>
      <c r="I96" s="416"/>
      <c r="J96" s="17"/>
    </row>
    <row r="97" spans="1:10" s="2" customFormat="1" ht="14.25" customHeight="1" x14ac:dyDescent="0.25">
      <c r="A97" s="77"/>
      <c r="B97" s="168"/>
      <c r="C97" s="168"/>
      <c r="D97" s="83" t="s">
        <v>147</v>
      </c>
      <c r="E97" s="30">
        <v>106</v>
      </c>
      <c r="F97" s="37">
        <v>457500</v>
      </c>
      <c r="G97" s="30">
        <v>106</v>
      </c>
      <c r="H97" s="37">
        <v>457500</v>
      </c>
      <c r="I97" s="416"/>
      <c r="J97" s="17"/>
    </row>
    <row r="98" spans="1:10" s="2" customFormat="1" ht="14.25" customHeight="1" x14ac:dyDescent="0.25">
      <c r="A98" s="77"/>
      <c r="B98" s="168"/>
      <c r="C98" s="168"/>
      <c r="D98" s="83" t="s">
        <v>198</v>
      </c>
      <c r="E98" s="30">
        <v>70</v>
      </c>
      <c r="F98" s="37">
        <v>271000</v>
      </c>
      <c r="G98" s="30">
        <v>70</v>
      </c>
      <c r="H98" s="37">
        <v>271000</v>
      </c>
      <c r="I98" s="416"/>
      <c r="J98" s="17"/>
    </row>
    <row r="99" spans="1:10" s="2" customFormat="1" ht="14.25" customHeight="1" x14ac:dyDescent="0.25">
      <c r="A99" s="77"/>
      <c r="B99" s="168"/>
      <c r="C99" s="168"/>
      <c r="D99" s="83" t="s">
        <v>199</v>
      </c>
      <c r="E99" s="30">
        <v>65</v>
      </c>
      <c r="F99" s="37">
        <v>189000</v>
      </c>
      <c r="G99" s="30">
        <v>65</v>
      </c>
      <c r="H99" s="37">
        <v>189000</v>
      </c>
      <c r="I99" s="416"/>
      <c r="J99" s="17"/>
    </row>
    <row r="100" spans="1:10" s="2" customFormat="1" ht="14.25" customHeight="1" x14ac:dyDescent="0.25">
      <c r="A100" s="77"/>
      <c r="B100" s="169"/>
      <c r="C100" s="169"/>
      <c r="D100" s="83" t="s">
        <v>200</v>
      </c>
      <c r="E100" s="30">
        <v>112</v>
      </c>
      <c r="F100" s="37">
        <v>415500</v>
      </c>
      <c r="G100" s="30">
        <v>112</v>
      </c>
      <c r="H100" s="37">
        <v>415500</v>
      </c>
      <c r="I100" s="416"/>
      <c r="J100" s="17"/>
    </row>
    <row r="101" spans="1:10" s="8" customFormat="1" ht="8.25" customHeight="1" x14ac:dyDescent="0.25">
      <c r="A101" s="7"/>
      <c r="B101" s="7"/>
      <c r="C101" s="7"/>
      <c r="D101" s="7"/>
      <c r="E101" s="7"/>
      <c r="F101" s="93"/>
      <c r="G101" s="7"/>
      <c r="H101" s="7"/>
      <c r="I101" s="7"/>
      <c r="J101" s="93"/>
    </row>
    <row r="102" spans="1:10" s="9" customFormat="1" ht="19.5" customHeight="1" x14ac:dyDescent="0.25">
      <c r="A102" s="926" t="s">
        <v>17</v>
      </c>
      <c r="B102" s="923" t="s">
        <v>56</v>
      </c>
      <c r="C102" s="926" t="s">
        <v>18</v>
      </c>
      <c r="D102" s="155" t="s">
        <v>81</v>
      </c>
      <c r="E102" s="161">
        <f t="shared" ref="E102:J102" si="16">E103+E108</f>
        <v>30</v>
      </c>
      <c r="F102" s="158">
        <f t="shared" si="16"/>
        <v>44175</v>
      </c>
      <c r="G102" s="161">
        <f t="shared" si="16"/>
        <v>0</v>
      </c>
      <c r="H102" s="158">
        <f t="shared" si="16"/>
        <v>0</v>
      </c>
      <c r="I102" s="161">
        <f t="shared" si="16"/>
        <v>11</v>
      </c>
      <c r="J102" s="158">
        <f t="shared" si="16"/>
        <v>13550</v>
      </c>
    </row>
    <row r="103" spans="1:10" s="3" customFormat="1" ht="16.5" customHeight="1" x14ac:dyDescent="0.25">
      <c r="A103" s="1037"/>
      <c r="B103" s="924"/>
      <c r="C103" s="1037"/>
      <c r="D103" s="70" t="s">
        <v>79</v>
      </c>
      <c r="E103" s="70">
        <f t="shared" ref="E103:J103" si="17">SUM(E104:E107)</f>
        <v>24</v>
      </c>
      <c r="F103" s="84">
        <f t="shared" si="17"/>
        <v>34250</v>
      </c>
      <c r="G103" s="70">
        <f t="shared" si="17"/>
        <v>0</v>
      </c>
      <c r="H103" s="71">
        <f t="shared" si="17"/>
        <v>0</v>
      </c>
      <c r="I103" s="70">
        <f t="shared" si="17"/>
        <v>9</v>
      </c>
      <c r="J103" s="84">
        <f t="shared" si="17"/>
        <v>10050</v>
      </c>
    </row>
    <row r="104" spans="1:10" s="2" customFormat="1" ht="14.25" customHeight="1" x14ac:dyDescent="0.25">
      <c r="A104" s="191"/>
      <c r="B104" s="924"/>
      <c r="C104" s="1037"/>
      <c r="D104" s="83" t="s">
        <v>190</v>
      </c>
      <c r="E104" s="30">
        <f>3+1</f>
        <v>4</v>
      </c>
      <c r="F104" s="37">
        <f>3500+3000</f>
        <v>6500</v>
      </c>
      <c r="G104" s="4"/>
      <c r="H104" s="17"/>
      <c r="I104" s="416"/>
      <c r="J104" s="17"/>
    </row>
    <row r="105" spans="1:10" s="2" customFormat="1" ht="14.25" customHeight="1" x14ac:dyDescent="0.25">
      <c r="A105" s="918"/>
      <c r="B105" s="924"/>
      <c r="C105" s="927"/>
      <c r="D105" s="83" t="s">
        <v>191</v>
      </c>
      <c r="E105" s="30">
        <f>9+1+1</f>
        <v>11</v>
      </c>
      <c r="F105" s="37">
        <f>3000+9000+1500</f>
        <v>13500</v>
      </c>
      <c r="G105" s="4"/>
      <c r="H105" s="17"/>
      <c r="I105" s="416">
        <f>3</f>
        <v>3</v>
      </c>
      <c r="J105" s="17">
        <f>3000</f>
        <v>3000</v>
      </c>
    </row>
    <row r="106" spans="1:10" s="2" customFormat="1" ht="14.25" customHeight="1" x14ac:dyDescent="0.25">
      <c r="A106" s="918"/>
      <c r="B106" s="171"/>
      <c r="C106" s="6"/>
      <c r="D106" s="83" t="s">
        <v>192</v>
      </c>
      <c r="E106" s="30"/>
      <c r="F106" s="37"/>
      <c r="G106" s="4"/>
      <c r="H106" s="17"/>
      <c r="I106" s="416"/>
      <c r="J106" s="17"/>
    </row>
    <row r="107" spans="1:10" s="2" customFormat="1" ht="14.25" customHeight="1" x14ac:dyDescent="0.25">
      <c r="A107" s="918"/>
      <c r="B107" s="171"/>
      <c r="C107" s="6"/>
      <c r="D107" s="83" t="s">
        <v>193</v>
      </c>
      <c r="E107" s="30">
        <f>6+1+2</f>
        <v>9</v>
      </c>
      <c r="F107" s="37">
        <f>11500+1000+1750</f>
        <v>14250</v>
      </c>
      <c r="G107" s="4"/>
      <c r="H107" s="17"/>
      <c r="I107" s="416">
        <f>5+1</f>
        <v>6</v>
      </c>
      <c r="J107" s="17">
        <f>5550+1500</f>
        <v>7050</v>
      </c>
    </row>
    <row r="108" spans="1:10" s="2" customFormat="1" ht="21" customHeight="1" x14ac:dyDescent="0.25">
      <c r="A108" s="77"/>
      <c r="B108" s="171"/>
      <c r="C108" s="6"/>
      <c r="D108" s="70" t="s">
        <v>80</v>
      </c>
      <c r="E108" s="70">
        <f t="shared" ref="E108:J108" si="18">SUM(E109:E118)</f>
        <v>6</v>
      </c>
      <c r="F108" s="84">
        <f t="shared" si="18"/>
        <v>9925</v>
      </c>
      <c r="G108" s="70">
        <f t="shared" si="18"/>
        <v>0</v>
      </c>
      <c r="H108" s="71">
        <f t="shared" si="18"/>
        <v>0</v>
      </c>
      <c r="I108" s="70">
        <f t="shared" si="18"/>
        <v>2</v>
      </c>
      <c r="J108" s="84">
        <f t="shared" si="18"/>
        <v>3500</v>
      </c>
    </row>
    <row r="109" spans="1:10" s="2" customFormat="1" ht="14.25" customHeight="1" x14ac:dyDescent="0.25">
      <c r="A109" s="77"/>
      <c r="B109" s="171"/>
      <c r="C109" s="6"/>
      <c r="D109" s="83" t="s">
        <v>194</v>
      </c>
      <c r="E109" s="30">
        <f>1+1+2</f>
        <v>4</v>
      </c>
      <c r="F109" s="37">
        <f>1500+1000+3425</f>
        <v>5925</v>
      </c>
      <c r="G109" s="4"/>
      <c r="H109" s="17"/>
      <c r="I109" s="416"/>
      <c r="J109" s="17"/>
    </row>
    <row r="110" spans="1:10" s="2" customFormat="1" ht="14.25" customHeight="1" x14ac:dyDescent="0.25">
      <c r="A110" s="77"/>
      <c r="B110" s="171"/>
      <c r="C110" s="6"/>
      <c r="D110" s="83" t="s">
        <v>195</v>
      </c>
      <c r="E110" s="30"/>
      <c r="F110" s="37"/>
      <c r="G110" s="4"/>
      <c r="H110" s="17"/>
      <c r="I110" s="416">
        <f>1</f>
        <v>1</v>
      </c>
      <c r="J110" s="17">
        <f>2000</f>
        <v>2000</v>
      </c>
    </row>
    <row r="111" spans="1:10" s="2" customFormat="1" ht="14.25" customHeight="1" x14ac:dyDescent="0.25">
      <c r="A111" s="77"/>
      <c r="B111" s="171"/>
      <c r="C111" s="6"/>
      <c r="D111" s="83" t="s">
        <v>196</v>
      </c>
      <c r="E111" s="30"/>
      <c r="F111" s="37"/>
      <c r="G111" s="4"/>
      <c r="H111" s="17"/>
      <c r="I111" s="416"/>
      <c r="J111" s="17"/>
    </row>
    <row r="112" spans="1:10" s="2" customFormat="1" ht="14.25" customHeight="1" x14ac:dyDescent="0.25">
      <c r="A112" s="77"/>
      <c r="B112" s="171"/>
      <c r="C112" s="6"/>
      <c r="D112" s="83" t="s">
        <v>11</v>
      </c>
      <c r="E112" s="30"/>
      <c r="F112" s="37"/>
      <c r="G112" s="4"/>
      <c r="H112" s="17"/>
      <c r="I112" s="416"/>
      <c r="J112" s="17"/>
    </row>
    <row r="113" spans="1:10" s="2" customFormat="1" ht="14.25" customHeight="1" x14ac:dyDescent="0.25">
      <c r="A113" s="77"/>
      <c r="B113" s="171"/>
      <c r="C113" s="6"/>
      <c r="D113" s="83" t="s">
        <v>12</v>
      </c>
      <c r="E113" s="30"/>
      <c r="F113" s="37"/>
      <c r="G113" s="4"/>
      <c r="H113" s="17"/>
      <c r="I113" s="416">
        <f>1</f>
        <v>1</v>
      </c>
      <c r="J113" s="17">
        <f>1500</f>
        <v>1500</v>
      </c>
    </row>
    <row r="114" spans="1:10" s="2" customFormat="1" ht="14.25" customHeight="1" x14ac:dyDescent="0.25">
      <c r="A114" s="77"/>
      <c r="B114" s="171"/>
      <c r="C114" s="6"/>
      <c r="D114" s="83" t="s">
        <v>197</v>
      </c>
      <c r="E114" s="30"/>
      <c r="F114" s="37"/>
      <c r="G114" s="4"/>
      <c r="H114" s="17"/>
      <c r="I114" s="416"/>
      <c r="J114" s="17"/>
    </row>
    <row r="115" spans="1:10" s="2" customFormat="1" ht="14.25" customHeight="1" x14ac:dyDescent="0.25">
      <c r="A115" s="77"/>
      <c r="B115" s="171"/>
      <c r="C115" s="6"/>
      <c r="D115" s="83" t="s">
        <v>147</v>
      </c>
      <c r="E115" s="30"/>
      <c r="F115" s="37"/>
      <c r="G115" s="4"/>
      <c r="H115" s="17"/>
      <c r="I115" s="416"/>
      <c r="J115" s="17"/>
    </row>
    <row r="116" spans="1:10" s="2" customFormat="1" ht="14.25" customHeight="1" x14ac:dyDescent="0.25">
      <c r="A116" s="77"/>
      <c r="B116" s="171"/>
      <c r="C116" s="6"/>
      <c r="D116" s="83" t="s">
        <v>198</v>
      </c>
      <c r="E116" s="30">
        <f>1</f>
        <v>1</v>
      </c>
      <c r="F116" s="37">
        <f>3000</f>
        <v>3000</v>
      </c>
      <c r="G116" s="4"/>
      <c r="H116" s="17"/>
      <c r="I116" s="416"/>
      <c r="J116" s="17"/>
    </row>
    <row r="117" spans="1:10" s="2" customFormat="1" ht="14.25" customHeight="1" x14ac:dyDescent="0.25">
      <c r="A117" s="77"/>
      <c r="B117" s="171"/>
      <c r="C117" s="6"/>
      <c r="D117" s="83" t="s">
        <v>199</v>
      </c>
      <c r="E117" s="30">
        <f>1</f>
        <v>1</v>
      </c>
      <c r="F117" s="37">
        <f>1000</f>
        <v>1000</v>
      </c>
      <c r="G117" s="4"/>
      <c r="H117" s="17"/>
      <c r="I117" s="416"/>
      <c r="J117" s="17"/>
    </row>
    <row r="118" spans="1:10" s="2" customFormat="1" ht="14.25" customHeight="1" x14ac:dyDescent="0.25">
      <c r="A118" s="153"/>
      <c r="B118" s="172"/>
      <c r="C118" s="6"/>
      <c r="D118" s="83" t="s">
        <v>200</v>
      </c>
      <c r="E118" s="30"/>
      <c r="F118" s="37"/>
      <c r="G118" s="114"/>
      <c r="H118" s="145"/>
      <c r="I118" s="422"/>
      <c r="J118" s="145"/>
    </row>
    <row r="119" spans="1:10" s="51" customFormat="1" ht="14.25" customHeight="1" x14ac:dyDescent="0.25">
      <c r="A119" s="115"/>
      <c r="B119" s="193"/>
      <c r="C119" s="194"/>
      <c r="D119" s="116"/>
      <c r="E119" s="117"/>
      <c r="F119" s="118"/>
      <c r="H119" s="58"/>
      <c r="J119" s="58"/>
    </row>
    <row r="120" spans="1:10" s="51" customFormat="1" ht="14.25" customHeight="1" x14ac:dyDescent="0.25">
      <c r="A120" s="115"/>
      <c r="B120" s="193"/>
      <c r="C120" s="194"/>
      <c r="D120" s="116"/>
      <c r="E120" s="117"/>
      <c r="F120" s="118"/>
      <c r="H120" s="58"/>
      <c r="J120" s="58"/>
    </row>
    <row r="121" spans="1:10" s="51" customFormat="1" ht="14.25" customHeight="1" x14ac:dyDescent="0.25">
      <c r="A121" s="115"/>
      <c r="B121" s="193"/>
      <c r="C121" s="194"/>
      <c r="D121" s="116"/>
      <c r="E121" s="117"/>
      <c r="F121" s="118"/>
      <c r="H121" s="58"/>
      <c r="J121" s="58"/>
    </row>
    <row r="122" spans="1:10" s="51" customFormat="1" ht="14.25" customHeight="1" x14ac:dyDescent="0.25">
      <c r="A122" s="115"/>
      <c r="B122" s="193"/>
      <c r="C122" s="194"/>
      <c r="D122" s="116"/>
      <c r="E122" s="117"/>
      <c r="F122" s="118"/>
      <c r="H122" s="58"/>
      <c r="J122" s="58"/>
    </row>
    <row r="123" spans="1:10" s="51" customFormat="1" ht="14.25" customHeight="1" x14ac:dyDescent="0.25">
      <c r="A123" s="115"/>
      <c r="B123" s="193"/>
      <c r="C123" s="194"/>
      <c r="D123" s="116"/>
      <c r="E123" s="117"/>
      <c r="F123" s="118"/>
      <c r="H123" s="58"/>
      <c r="J123" s="58"/>
    </row>
    <row r="124" spans="1:10" s="8" customFormat="1" ht="8.25" customHeight="1" x14ac:dyDescent="0.25">
      <c r="A124" s="7"/>
      <c r="B124" s="7"/>
      <c r="C124" s="7"/>
      <c r="D124" s="7"/>
      <c r="E124" s="7"/>
      <c r="F124" s="93"/>
      <c r="G124" s="7"/>
      <c r="H124" s="7"/>
      <c r="I124" s="7"/>
      <c r="J124" s="93"/>
    </row>
    <row r="125" spans="1:10" s="9" customFormat="1" ht="22.5" customHeight="1" x14ac:dyDescent="0.25">
      <c r="A125" s="926" t="s">
        <v>23</v>
      </c>
      <c r="B125" s="831" t="s">
        <v>58</v>
      </c>
      <c r="C125" s="926" t="s">
        <v>24</v>
      </c>
      <c r="D125" s="155" t="s">
        <v>81</v>
      </c>
      <c r="E125" s="161">
        <f t="shared" ref="E125:J125" si="19">E126+E127+E133</f>
        <v>16000</v>
      </c>
      <c r="F125" s="158">
        <f t="shared" si="19"/>
        <v>4273887.3599999994</v>
      </c>
      <c r="G125" s="161">
        <f t="shared" si="19"/>
        <v>0</v>
      </c>
      <c r="H125" s="158">
        <f t="shared" si="19"/>
        <v>0</v>
      </c>
      <c r="I125" s="161">
        <f t="shared" si="19"/>
        <v>0</v>
      </c>
      <c r="J125" s="158">
        <f t="shared" si="19"/>
        <v>0</v>
      </c>
    </row>
    <row r="126" spans="1:10" s="9" customFormat="1" ht="20.25" customHeight="1" x14ac:dyDescent="0.25">
      <c r="A126" s="1037"/>
      <c r="B126" s="832"/>
      <c r="C126" s="1037"/>
      <c r="D126" s="70" t="s">
        <v>203</v>
      </c>
      <c r="E126" s="119">
        <v>163</v>
      </c>
      <c r="F126" s="69">
        <v>40968</v>
      </c>
      <c r="G126" s="67"/>
      <c r="H126" s="67"/>
      <c r="I126" s="421"/>
      <c r="J126" s="69"/>
    </row>
    <row r="127" spans="1:10" s="3" customFormat="1" ht="20.25" customHeight="1" x14ac:dyDescent="0.25">
      <c r="A127" s="146"/>
      <c r="B127" s="832"/>
      <c r="C127" s="1037"/>
      <c r="D127" s="70" t="s">
        <v>79</v>
      </c>
      <c r="E127" s="70">
        <f t="shared" ref="E127:J127" si="20">SUM(E128:E131)</f>
        <v>6673</v>
      </c>
      <c r="F127" s="84">
        <f t="shared" si="20"/>
        <v>1912219.3599999999</v>
      </c>
      <c r="G127" s="70">
        <f t="shared" si="20"/>
        <v>0</v>
      </c>
      <c r="H127" s="71">
        <f t="shared" si="20"/>
        <v>0</v>
      </c>
      <c r="I127" s="70">
        <f t="shared" si="20"/>
        <v>0</v>
      </c>
      <c r="J127" s="84">
        <f t="shared" si="20"/>
        <v>0</v>
      </c>
    </row>
    <row r="128" spans="1:10" s="2" customFormat="1" ht="14.25" customHeight="1" x14ac:dyDescent="0.25">
      <c r="A128" s="191"/>
      <c r="B128" s="832"/>
      <c r="C128" s="1037"/>
      <c r="D128" s="83" t="s">
        <v>190</v>
      </c>
      <c r="E128" s="30">
        <f>300</f>
        <v>300</v>
      </c>
      <c r="F128" s="37">
        <f>126376</f>
        <v>126376</v>
      </c>
      <c r="G128" s="4"/>
      <c r="H128" s="17"/>
      <c r="I128" s="416"/>
      <c r="J128" s="17"/>
    </row>
    <row r="129" spans="1:10" s="2" customFormat="1" ht="14.25" customHeight="1" x14ac:dyDescent="0.25">
      <c r="A129" s="918"/>
      <c r="B129" s="832"/>
      <c r="C129" s="927"/>
      <c r="D129" s="83" t="s">
        <v>191</v>
      </c>
      <c r="E129" s="30">
        <f>1200</f>
        <v>1200</v>
      </c>
      <c r="F129" s="37">
        <f>401404</f>
        <v>401404</v>
      </c>
      <c r="G129" s="4"/>
      <c r="H129" s="17"/>
      <c r="I129" s="416"/>
      <c r="J129" s="17"/>
    </row>
    <row r="130" spans="1:10" s="2" customFormat="1" ht="14.25" customHeight="1" x14ac:dyDescent="0.25">
      <c r="A130" s="918"/>
      <c r="B130" s="85"/>
      <c r="C130" s="6"/>
      <c r="D130" s="83" t="s">
        <v>192</v>
      </c>
      <c r="E130" s="30">
        <f>705</f>
        <v>705</v>
      </c>
      <c r="F130" s="37">
        <f>192098.7</f>
        <v>192098.7</v>
      </c>
      <c r="G130" s="4"/>
      <c r="H130" s="17"/>
      <c r="I130" s="416"/>
      <c r="J130" s="17"/>
    </row>
    <row r="131" spans="1:10" s="2" customFormat="1" ht="14.25" customHeight="1" x14ac:dyDescent="0.25">
      <c r="A131" s="918"/>
      <c r="B131" s="85"/>
      <c r="C131" s="6"/>
      <c r="D131" s="83" t="s">
        <v>193</v>
      </c>
      <c r="E131" s="30">
        <v>4468</v>
      </c>
      <c r="F131" s="37">
        <f>1192340.66</f>
        <v>1192340.6599999999</v>
      </c>
      <c r="G131" s="4"/>
      <c r="H131" s="17"/>
      <c r="I131" s="416"/>
      <c r="J131" s="17"/>
    </row>
    <row r="132" spans="1:10" s="2" customFormat="1" ht="14.25" customHeight="1" x14ac:dyDescent="0.25">
      <c r="A132" s="104"/>
      <c r="B132" s="85"/>
      <c r="C132" s="6"/>
      <c r="D132" s="108" t="s">
        <v>221</v>
      </c>
      <c r="E132" s="79">
        <f>1000</f>
        <v>1000</v>
      </c>
      <c r="F132" s="81">
        <f>241770</f>
        <v>241770</v>
      </c>
      <c r="G132" s="110"/>
      <c r="H132" s="82"/>
      <c r="I132" s="423"/>
      <c r="J132" s="82"/>
    </row>
    <row r="133" spans="1:10" s="2" customFormat="1" ht="18" customHeight="1" x14ac:dyDescent="0.25">
      <c r="A133" s="77"/>
      <c r="B133" s="85"/>
      <c r="C133" s="6"/>
      <c r="D133" s="70" t="s">
        <v>80</v>
      </c>
      <c r="E133" s="70">
        <f t="shared" ref="E133:J133" si="21">SUM(E134:E143)</f>
        <v>9164</v>
      </c>
      <c r="F133" s="84">
        <f t="shared" si="21"/>
        <v>2320700</v>
      </c>
      <c r="G133" s="70">
        <f t="shared" si="21"/>
        <v>0</v>
      </c>
      <c r="H133" s="71">
        <f t="shared" si="21"/>
        <v>0</v>
      </c>
      <c r="I133" s="70">
        <f t="shared" si="21"/>
        <v>0</v>
      </c>
      <c r="J133" s="84">
        <f t="shared" si="21"/>
        <v>0</v>
      </c>
    </row>
    <row r="134" spans="1:10" s="2" customFormat="1" ht="14.25" customHeight="1" x14ac:dyDescent="0.25">
      <c r="A134" s="77"/>
      <c r="B134" s="85"/>
      <c r="C134" s="6"/>
      <c r="D134" s="83" t="s">
        <v>194</v>
      </c>
      <c r="E134" s="30">
        <f>500</f>
        <v>500</v>
      </c>
      <c r="F134" s="37">
        <f>125000</f>
        <v>125000</v>
      </c>
      <c r="G134" s="4"/>
      <c r="H134" s="17"/>
      <c r="I134" s="416"/>
      <c r="J134" s="17"/>
    </row>
    <row r="135" spans="1:10" s="2" customFormat="1" ht="14.25" customHeight="1" x14ac:dyDescent="0.25">
      <c r="A135" s="77"/>
      <c r="B135" s="85"/>
      <c r="C135" s="6"/>
      <c r="D135" s="83" t="s">
        <v>195</v>
      </c>
      <c r="E135" s="30">
        <f>297</f>
        <v>297</v>
      </c>
      <c r="F135" s="37">
        <f>78570</f>
        <v>78570</v>
      </c>
      <c r="G135" s="4"/>
      <c r="H135" s="17"/>
      <c r="I135" s="416"/>
      <c r="J135" s="17"/>
    </row>
    <row r="136" spans="1:10" s="2" customFormat="1" ht="14.25" customHeight="1" x14ac:dyDescent="0.25">
      <c r="A136" s="77"/>
      <c r="B136" s="85"/>
      <c r="C136" s="6"/>
      <c r="D136" s="83" t="s">
        <v>196</v>
      </c>
      <c r="E136" s="30">
        <v>1467</v>
      </c>
      <c r="F136" s="37">
        <v>366770</v>
      </c>
      <c r="G136" s="4"/>
      <c r="H136" s="17"/>
      <c r="I136" s="416"/>
      <c r="J136" s="17"/>
    </row>
    <row r="137" spans="1:10" s="2" customFormat="1" ht="14.25" customHeight="1" x14ac:dyDescent="0.25">
      <c r="A137" s="77"/>
      <c r="B137" s="85"/>
      <c r="C137" s="6"/>
      <c r="D137" s="83" t="s">
        <v>11</v>
      </c>
      <c r="E137" s="30">
        <v>500</v>
      </c>
      <c r="F137" s="37">
        <v>122125</v>
      </c>
      <c r="G137" s="4"/>
      <c r="H137" s="17"/>
      <c r="I137" s="416"/>
      <c r="J137" s="17"/>
    </row>
    <row r="138" spans="1:10" s="2" customFormat="1" ht="14.25" customHeight="1" x14ac:dyDescent="0.25">
      <c r="A138" s="77"/>
      <c r="B138" s="85"/>
      <c r="C138" s="6"/>
      <c r="D138" s="83" t="s">
        <v>12</v>
      </c>
      <c r="E138" s="30">
        <f>1950+500</f>
        <v>2450</v>
      </c>
      <c r="F138" s="37">
        <f>487655+125000</f>
        <v>612655</v>
      </c>
      <c r="G138" s="4"/>
      <c r="H138" s="17"/>
      <c r="I138" s="416"/>
      <c r="J138" s="17"/>
    </row>
    <row r="139" spans="1:10" s="2" customFormat="1" ht="14.25" customHeight="1" x14ac:dyDescent="0.25">
      <c r="A139" s="77"/>
      <c r="B139" s="85"/>
      <c r="C139" s="6"/>
      <c r="D139" s="83" t="s">
        <v>197</v>
      </c>
      <c r="E139" s="30"/>
      <c r="F139" s="37"/>
      <c r="G139" s="4"/>
      <c r="H139" s="17"/>
      <c r="I139" s="416"/>
      <c r="J139" s="17"/>
    </row>
    <row r="140" spans="1:10" s="2" customFormat="1" ht="14.25" customHeight="1" x14ac:dyDescent="0.25">
      <c r="A140" s="77"/>
      <c r="B140" s="85"/>
      <c r="C140" s="6"/>
      <c r="D140" s="83" t="s">
        <v>147</v>
      </c>
      <c r="E140" s="30">
        <f>500</f>
        <v>500</v>
      </c>
      <c r="F140" s="37">
        <f>152925</f>
        <v>152925</v>
      </c>
      <c r="G140" s="4"/>
      <c r="H140" s="17"/>
      <c r="I140" s="416"/>
      <c r="J140" s="17"/>
    </row>
    <row r="141" spans="1:10" s="2" customFormat="1" ht="14.25" customHeight="1" x14ac:dyDescent="0.25">
      <c r="A141" s="77"/>
      <c r="B141" s="85"/>
      <c r="C141" s="6"/>
      <c r="D141" s="83" t="s">
        <v>198</v>
      </c>
      <c r="E141" s="30"/>
      <c r="F141" s="37"/>
      <c r="G141" s="4"/>
      <c r="H141" s="17"/>
      <c r="I141" s="416"/>
      <c r="J141" s="17"/>
    </row>
    <row r="142" spans="1:10" s="2" customFormat="1" ht="14.25" customHeight="1" x14ac:dyDescent="0.25">
      <c r="A142" s="77"/>
      <c r="B142" s="85"/>
      <c r="C142" s="6"/>
      <c r="D142" s="83" t="s">
        <v>199</v>
      </c>
      <c r="E142" s="30"/>
      <c r="F142" s="37"/>
      <c r="G142" s="4"/>
      <c r="H142" s="17"/>
      <c r="I142" s="416"/>
      <c r="J142" s="17"/>
    </row>
    <row r="143" spans="1:10" s="2" customFormat="1" ht="14.25" customHeight="1" x14ac:dyDescent="0.25">
      <c r="A143" s="77"/>
      <c r="B143" s="85"/>
      <c r="C143" s="6"/>
      <c r="D143" s="83" t="s">
        <v>200</v>
      </c>
      <c r="E143" s="30">
        <v>3450</v>
      </c>
      <c r="F143" s="37">
        <f>612655+250000</f>
        <v>862655</v>
      </c>
      <c r="G143" s="4"/>
      <c r="H143" s="17"/>
      <c r="I143" s="416"/>
      <c r="J143" s="17"/>
    </row>
    <row r="144" spans="1:10" s="2" customFormat="1" ht="14.25" customHeight="1" x14ac:dyDescent="0.25">
      <c r="A144" s="104"/>
      <c r="B144" s="105"/>
      <c r="C144" s="6"/>
      <c r="D144" s="83" t="s">
        <v>222</v>
      </c>
      <c r="E144" s="30">
        <v>1000</v>
      </c>
      <c r="F144" s="37">
        <v>250000</v>
      </c>
      <c r="G144" s="4"/>
      <c r="H144" s="17"/>
      <c r="I144" s="416"/>
      <c r="J144" s="17"/>
    </row>
    <row r="145" spans="1:10" s="8" customFormat="1" ht="8.25" customHeight="1" x14ac:dyDescent="0.25">
      <c r="A145" s="7"/>
      <c r="B145" s="7"/>
      <c r="C145" s="7"/>
      <c r="D145" s="7"/>
      <c r="E145" s="7"/>
      <c r="F145" s="93"/>
      <c r="G145" s="7"/>
      <c r="H145" s="7"/>
      <c r="I145" s="7"/>
      <c r="J145" s="93"/>
    </row>
    <row r="146" spans="1:10" s="9" customFormat="1" ht="30" customHeight="1" x14ac:dyDescent="0.25">
      <c r="A146" s="54" t="s">
        <v>63</v>
      </c>
      <c r="B146" s="831" t="s">
        <v>64</v>
      </c>
      <c r="C146" s="6" t="s">
        <v>65</v>
      </c>
      <c r="D146" s="70" t="s">
        <v>81</v>
      </c>
      <c r="E146" s="64">
        <f t="shared" ref="E146:J146" si="22">E147+E152</f>
        <v>0</v>
      </c>
      <c r="F146" s="78">
        <f t="shared" si="22"/>
        <v>0</v>
      </c>
      <c r="G146" s="64">
        <f t="shared" si="22"/>
        <v>0</v>
      </c>
      <c r="H146" s="78">
        <f t="shared" si="22"/>
        <v>0</v>
      </c>
      <c r="I146" s="64">
        <f t="shared" si="22"/>
        <v>43</v>
      </c>
      <c r="J146" s="78">
        <f t="shared" si="22"/>
        <v>430000</v>
      </c>
    </row>
    <row r="147" spans="1:10" s="3" customFormat="1" ht="27.75" customHeight="1" x14ac:dyDescent="0.25">
      <c r="A147" s="6"/>
      <c r="B147" s="879"/>
      <c r="C147" s="6"/>
      <c r="D147" s="70" t="s">
        <v>79</v>
      </c>
      <c r="E147" s="70">
        <f t="shared" ref="E147:J147" si="23">SUM(E148:E151)</f>
        <v>0</v>
      </c>
      <c r="F147" s="84">
        <f t="shared" si="23"/>
        <v>0</v>
      </c>
      <c r="G147" s="70">
        <f t="shared" si="23"/>
        <v>0</v>
      </c>
      <c r="H147" s="71">
        <f t="shared" si="23"/>
        <v>0</v>
      </c>
      <c r="I147" s="70">
        <f t="shared" si="23"/>
        <v>43</v>
      </c>
      <c r="J147" s="84">
        <f t="shared" si="23"/>
        <v>430000</v>
      </c>
    </row>
    <row r="148" spans="1:10" s="2" customFormat="1" ht="14.25" customHeight="1" x14ac:dyDescent="0.25">
      <c r="A148" s="18"/>
      <c r="B148" s="879"/>
      <c r="C148" s="6"/>
      <c r="D148" s="83" t="s">
        <v>190</v>
      </c>
      <c r="E148" s="30"/>
      <c r="F148" s="37"/>
      <c r="G148" s="4"/>
      <c r="H148" s="17"/>
      <c r="I148" s="416"/>
      <c r="J148" s="17"/>
    </row>
    <row r="149" spans="1:10" s="2" customFormat="1" ht="14.25" customHeight="1" x14ac:dyDescent="0.25">
      <c r="A149" s="972"/>
      <c r="B149" s="879"/>
      <c r="C149" s="6"/>
      <c r="D149" s="83" t="s">
        <v>191</v>
      </c>
      <c r="E149" s="30"/>
      <c r="F149" s="37"/>
      <c r="G149" s="4"/>
      <c r="H149" s="17"/>
      <c r="I149" s="416"/>
      <c r="J149" s="17"/>
    </row>
    <row r="150" spans="1:10" s="2" customFormat="1" ht="14.25" customHeight="1" x14ac:dyDescent="0.25">
      <c r="A150" s="918"/>
      <c r="B150" s="879"/>
      <c r="C150" s="6"/>
      <c r="D150" s="83" t="s">
        <v>192</v>
      </c>
      <c r="E150" s="30"/>
      <c r="F150" s="37"/>
      <c r="G150" s="4"/>
      <c r="H150" s="17"/>
      <c r="I150" s="416"/>
      <c r="J150" s="17"/>
    </row>
    <row r="151" spans="1:10" s="2" customFormat="1" ht="14.25" customHeight="1" x14ac:dyDescent="0.25">
      <c r="A151" s="918"/>
      <c r="B151" s="879"/>
      <c r="C151" s="6"/>
      <c r="D151" s="83" t="s">
        <v>193</v>
      </c>
      <c r="E151" s="30"/>
      <c r="F151" s="37"/>
      <c r="G151" s="4"/>
      <c r="H151" s="17"/>
      <c r="I151" s="416">
        <v>43</v>
      </c>
      <c r="J151" s="17">
        <v>430000</v>
      </c>
    </row>
    <row r="152" spans="1:10" s="2" customFormat="1" ht="24" customHeight="1" x14ac:dyDescent="0.25">
      <c r="A152" s="77"/>
      <c r="B152" s="879"/>
      <c r="C152" s="6"/>
      <c r="D152" s="70" t="s">
        <v>80</v>
      </c>
      <c r="E152" s="70">
        <f t="shared" ref="E152:J152" si="24">SUM(E153:E162)</f>
        <v>0</v>
      </c>
      <c r="F152" s="84">
        <f t="shared" si="24"/>
        <v>0</v>
      </c>
      <c r="G152" s="70">
        <f t="shared" si="24"/>
        <v>0</v>
      </c>
      <c r="H152" s="71">
        <f t="shared" si="24"/>
        <v>0</v>
      </c>
      <c r="I152" s="70">
        <f t="shared" si="24"/>
        <v>0</v>
      </c>
      <c r="J152" s="84">
        <f t="shared" si="24"/>
        <v>0</v>
      </c>
    </row>
    <row r="153" spans="1:10" s="2" customFormat="1" ht="14.25" customHeight="1" x14ac:dyDescent="0.25">
      <c r="A153" s="77"/>
      <c r="B153" s="879"/>
      <c r="C153" s="6"/>
      <c r="D153" s="83" t="s">
        <v>194</v>
      </c>
      <c r="E153" s="30"/>
      <c r="F153" s="37"/>
      <c r="G153" s="4"/>
      <c r="H153" s="17"/>
      <c r="I153" s="416"/>
      <c r="J153" s="17"/>
    </row>
    <row r="154" spans="1:10" s="2" customFormat="1" ht="14.25" customHeight="1" x14ac:dyDescent="0.25">
      <c r="A154" s="77"/>
      <c r="B154" s="879"/>
      <c r="C154" s="6"/>
      <c r="D154" s="83" t="s">
        <v>195</v>
      </c>
      <c r="E154" s="30"/>
      <c r="F154" s="37"/>
      <c r="G154" s="4"/>
      <c r="H154" s="17"/>
      <c r="I154" s="416"/>
      <c r="J154" s="17"/>
    </row>
    <row r="155" spans="1:10" s="2" customFormat="1" ht="14.25" customHeight="1" x14ac:dyDescent="0.25">
      <c r="A155" s="77"/>
      <c r="B155" s="879"/>
      <c r="C155" s="6"/>
      <c r="D155" s="83" t="s">
        <v>196</v>
      </c>
      <c r="E155" s="30"/>
      <c r="F155" s="37"/>
      <c r="G155" s="4"/>
      <c r="H155" s="17"/>
      <c r="I155" s="416"/>
      <c r="J155" s="17"/>
    </row>
    <row r="156" spans="1:10" s="2" customFormat="1" ht="14.25" customHeight="1" x14ac:dyDescent="0.25">
      <c r="A156" s="77"/>
      <c r="B156" s="879"/>
      <c r="C156" s="6"/>
      <c r="D156" s="83" t="s">
        <v>11</v>
      </c>
      <c r="E156" s="30"/>
      <c r="F156" s="37"/>
      <c r="G156" s="4"/>
      <c r="H156" s="17"/>
      <c r="I156" s="416"/>
      <c r="J156" s="17"/>
    </row>
    <row r="157" spans="1:10" s="2" customFormat="1" ht="14.25" customHeight="1" x14ac:dyDescent="0.25">
      <c r="A157" s="77"/>
      <c r="B157" s="879"/>
      <c r="C157" s="6"/>
      <c r="D157" s="83" t="s">
        <v>12</v>
      </c>
      <c r="E157" s="30"/>
      <c r="F157" s="37"/>
      <c r="G157" s="4"/>
      <c r="H157" s="17"/>
      <c r="I157" s="416"/>
      <c r="J157" s="17"/>
    </row>
    <row r="158" spans="1:10" s="2" customFormat="1" ht="14.25" customHeight="1" x14ac:dyDescent="0.25">
      <c r="A158" s="77"/>
      <c r="B158" s="879"/>
      <c r="C158" s="6"/>
      <c r="D158" s="83" t="s">
        <v>197</v>
      </c>
      <c r="E158" s="30"/>
      <c r="F158" s="37"/>
      <c r="G158" s="4"/>
      <c r="H158" s="17"/>
      <c r="I158" s="416"/>
      <c r="J158" s="17"/>
    </row>
    <row r="159" spans="1:10" s="2" customFormat="1" ht="14.25" customHeight="1" x14ac:dyDescent="0.25">
      <c r="A159" s="77"/>
      <c r="B159" s="879"/>
      <c r="C159" s="6"/>
      <c r="D159" s="83" t="s">
        <v>147</v>
      </c>
      <c r="E159" s="30"/>
      <c r="F159" s="37"/>
      <c r="G159" s="4"/>
      <c r="H159" s="17"/>
      <c r="I159" s="416"/>
      <c r="J159" s="17"/>
    </row>
    <row r="160" spans="1:10" s="2" customFormat="1" ht="14.25" customHeight="1" x14ac:dyDescent="0.25">
      <c r="A160" s="77"/>
      <c r="B160" s="879"/>
      <c r="C160" s="6"/>
      <c r="D160" s="83" t="s">
        <v>198</v>
      </c>
      <c r="E160" s="30"/>
      <c r="F160" s="37"/>
      <c r="G160" s="4"/>
      <c r="H160" s="17"/>
      <c r="I160" s="416"/>
      <c r="J160" s="17"/>
    </row>
    <row r="161" spans="1:10" s="2" customFormat="1" ht="14.25" customHeight="1" x14ac:dyDescent="0.25">
      <c r="A161" s="77"/>
      <c r="B161" s="879"/>
      <c r="C161" s="6"/>
      <c r="D161" s="83" t="s">
        <v>199</v>
      </c>
      <c r="E161" s="30"/>
      <c r="F161" s="37"/>
      <c r="G161" s="4"/>
      <c r="H161" s="17"/>
      <c r="I161" s="416"/>
      <c r="J161" s="17"/>
    </row>
    <row r="162" spans="1:10" s="2" customFormat="1" ht="14.25" customHeight="1" x14ac:dyDescent="0.25">
      <c r="A162" s="77"/>
      <c r="B162" s="879"/>
      <c r="C162" s="6"/>
      <c r="D162" s="83" t="s">
        <v>200</v>
      </c>
      <c r="E162" s="30"/>
      <c r="F162" s="37"/>
      <c r="G162" s="4"/>
      <c r="H162" s="17"/>
      <c r="I162" s="416"/>
      <c r="J162" s="17"/>
    </row>
    <row r="163" spans="1:10" s="8" customFormat="1" ht="8.25" customHeight="1" x14ac:dyDescent="0.25">
      <c r="A163" s="60"/>
      <c r="B163" s="60"/>
      <c r="C163" s="60"/>
      <c r="D163" s="60"/>
      <c r="E163" s="60"/>
      <c r="F163" s="96"/>
      <c r="G163" s="60"/>
      <c r="H163" s="60"/>
      <c r="I163" s="60"/>
      <c r="J163" s="96"/>
    </row>
    <row r="164" spans="1:10" s="9" customFormat="1" ht="18.75" customHeight="1" x14ac:dyDescent="0.25">
      <c r="A164" s="926" t="s">
        <v>67</v>
      </c>
      <c r="B164" s="831" t="s">
        <v>68</v>
      </c>
      <c r="C164" s="926" t="s">
        <v>65</v>
      </c>
      <c r="D164" s="155" t="s">
        <v>81</v>
      </c>
      <c r="E164" s="161">
        <f t="shared" ref="E164:J164" si="25">E165+E170</f>
        <v>1450</v>
      </c>
      <c r="F164" s="158">
        <f t="shared" si="25"/>
        <v>1366000</v>
      </c>
      <c r="G164" s="161">
        <f t="shared" si="25"/>
        <v>0</v>
      </c>
      <c r="H164" s="158">
        <f t="shared" si="25"/>
        <v>0</v>
      </c>
      <c r="I164" s="161">
        <f t="shared" si="25"/>
        <v>0</v>
      </c>
      <c r="J164" s="158">
        <f t="shared" si="25"/>
        <v>0</v>
      </c>
    </row>
    <row r="165" spans="1:10" s="3" customFormat="1" ht="18.75" customHeight="1" x14ac:dyDescent="0.25">
      <c r="A165" s="1037"/>
      <c r="B165" s="832"/>
      <c r="C165" s="927"/>
      <c r="D165" s="70" t="s">
        <v>79</v>
      </c>
      <c r="E165" s="70">
        <f t="shared" ref="E165:J165" si="26">SUM(E166:E169)</f>
        <v>0</v>
      </c>
      <c r="F165" s="84">
        <f t="shared" si="26"/>
        <v>0</v>
      </c>
      <c r="G165" s="70">
        <f t="shared" si="26"/>
        <v>0</v>
      </c>
      <c r="H165" s="71">
        <f t="shared" si="26"/>
        <v>0</v>
      </c>
      <c r="I165" s="70">
        <f t="shared" si="26"/>
        <v>0</v>
      </c>
      <c r="J165" s="84">
        <f t="shared" si="26"/>
        <v>0</v>
      </c>
    </row>
    <row r="166" spans="1:10" s="2" customFormat="1" ht="14.25" customHeight="1" x14ac:dyDescent="0.25">
      <c r="A166" s="191"/>
      <c r="B166" s="832"/>
      <c r="C166" s="6"/>
      <c r="D166" s="83" t="s">
        <v>190</v>
      </c>
      <c r="E166" s="30"/>
      <c r="F166" s="37"/>
      <c r="G166" s="4"/>
      <c r="H166" s="17"/>
      <c r="I166" s="416"/>
      <c r="J166" s="17"/>
    </row>
    <row r="167" spans="1:10" s="2" customFormat="1" ht="14.25" customHeight="1" x14ac:dyDescent="0.25">
      <c r="A167" s="918"/>
      <c r="B167" s="832"/>
      <c r="C167" s="6"/>
      <c r="D167" s="83" t="s">
        <v>191</v>
      </c>
      <c r="E167" s="30"/>
      <c r="F167" s="37"/>
      <c r="G167" s="4"/>
      <c r="H167" s="17"/>
      <c r="I167" s="416"/>
      <c r="J167" s="17"/>
    </row>
    <row r="168" spans="1:10" s="2" customFormat="1" ht="14.25" customHeight="1" x14ac:dyDescent="0.25">
      <c r="A168" s="918"/>
      <c r="B168" s="832"/>
      <c r="C168" s="6"/>
      <c r="D168" s="83" t="s">
        <v>192</v>
      </c>
      <c r="E168" s="30"/>
      <c r="F168" s="37"/>
      <c r="G168" s="4"/>
      <c r="H168" s="17"/>
      <c r="I168" s="416"/>
      <c r="J168" s="17"/>
    </row>
    <row r="169" spans="1:10" s="2" customFormat="1" ht="14.25" customHeight="1" x14ac:dyDescent="0.25">
      <c r="A169" s="918"/>
      <c r="B169" s="832"/>
      <c r="C169" s="6"/>
      <c r="D169" s="83" t="s">
        <v>193</v>
      </c>
      <c r="E169" s="30"/>
      <c r="F169" s="37"/>
      <c r="G169" s="4"/>
      <c r="H169" s="17"/>
      <c r="I169" s="416"/>
      <c r="J169" s="17"/>
    </row>
    <row r="170" spans="1:10" s="2" customFormat="1" ht="15" customHeight="1" x14ac:dyDescent="0.25">
      <c r="A170" s="77"/>
      <c r="B170" s="832"/>
      <c r="C170" s="6"/>
      <c r="D170" s="70" t="s">
        <v>80</v>
      </c>
      <c r="E170" s="70">
        <f t="shared" ref="E170:J170" si="27">SUM(E171:E180)</f>
        <v>1450</v>
      </c>
      <c r="F170" s="84">
        <f t="shared" si="27"/>
        <v>1366000</v>
      </c>
      <c r="G170" s="70">
        <f t="shared" si="27"/>
        <v>0</v>
      </c>
      <c r="H170" s="71">
        <f t="shared" si="27"/>
        <v>0</v>
      </c>
      <c r="I170" s="70">
        <f t="shared" si="27"/>
        <v>0</v>
      </c>
      <c r="J170" s="84">
        <f t="shared" si="27"/>
        <v>0</v>
      </c>
    </row>
    <row r="171" spans="1:10" s="2" customFormat="1" ht="14.25" customHeight="1" x14ac:dyDescent="0.25">
      <c r="A171" s="77"/>
      <c r="B171" s="85"/>
      <c r="C171" s="6"/>
      <c r="D171" s="83" t="s">
        <v>194</v>
      </c>
      <c r="E171" s="30">
        <f>100</f>
        <v>100</v>
      </c>
      <c r="F171" s="37">
        <f>25000</f>
        <v>25000</v>
      </c>
      <c r="G171" s="4"/>
      <c r="H171" s="17"/>
      <c r="I171" s="416"/>
      <c r="J171" s="17"/>
    </row>
    <row r="172" spans="1:10" s="2" customFormat="1" ht="14.25" customHeight="1" x14ac:dyDescent="0.25">
      <c r="A172" s="77"/>
      <c r="B172" s="85"/>
      <c r="C172" s="6"/>
      <c r="D172" s="83" t="s">
        <v>195</v>
      </c>
      <c r="E172" s="30">
        <f>100</f>
        <v>100</v>
      </c>
      <c r="F172" s="37">
        <f>25000</f>
        <v>25000</v>
      </c>
      <c r="G172" s="4"/>
      <c r="H172" s="17"/>
      <c r="I172" s="416"/>
      <c r="J172" s="17"/>
    </row>
    <row r="173" spans="1:10" s="2" customFormat="1" ht="14.25" customHeight="1" x14ac:dyDescent="0.25">
      <c r="A173" s="77"/>
      <c r="B173" s="85"/>
      <c r="C173" s="6"/>
      <c r="D173" s="83" t="s">
        <v>196</v>
      </c>
      <c r="E173" s="30">
        <f>100</f>
        <v>100</v>
      </c>
      <c r="F173" s="37">
        <f>25000</f>
        <v>25000</v>
      </c>
      <c r="G173" s="4"/>
      <c r="H173" s="17"/>
      <c r="I173" s="416"/>
      <c r="J173" s="17"/>
    </row>
    <row r="174" spans="1:10" s="2" customFormat="1" ht="14.25" customHeight="1" x14ac:dyDescent="0.25">
      <c r="A174" s="77"/>
      <c r="B174" s="85"/>
      <c r="C174" s="6"/>
      <c r="D174" s="83" t="s">
        <v>11</v>
      </c>
      <c r="E174" s="30">
        <f>100</f>
        <v>100</v>
      </c>
      <c r="F174" s="37">
        <f>25000</f>
        <v>25000</v>
      </c>
      <c r="G174" s="4"/>
      <c r="H174" s="17"/>
      <c r="I174" s="416"/>
      <c r="J174" s="17"/>
    </row>
    <row r="175" spans="1:10" s="2" customFormat="1" ht="14.25" customHeight="1" x14ac:dyDescent="0.25">
      <c r="A175" s="77"/>
      <c r="B175" s="85"/>
      <c r="C175" s="6"/>
      <c r="D175" s="83" t="s">
        <v>12</v>
      </c>
      <c r="E175" s="30">
        <f>100</f>
        <v>100</v>
      </c>
      <c r="F175" s="37">
        <f>25000</f>
        <v>25000</v>
      </c>
      <c r="G175" s="4"/>
      <c r="H175" s="17"/>
      <c r="I175" s="416"/>
      <c r="J175" s="17"/>
    </row>
    <row r="176" spans="1:10" s="2" customFormat="1" ht="14.25" customHeight="1" x14ac:dyDescent="0.25">
      <c r="A176" s="77"/>
      <c r="B176" s="85"/>
      <c r="C176" s="6"/>
      <c r="D176" s="83" t="s">
        <v>197</v>
      </c>
      <c r="E176" s="30">
        <f>100</f>
        <v>100</v>
      </c>
      <c r="F176" s="37">
        <f>25000</f>
        <v>25000</v>
      </c>
      <c r="G176" s="4"/>
      <c r="H176" s="17"/>
      <c r="I176" s="416"/>
      <c r="J176" s="17"/>
    </row>
    <row r="177" spans="1:10" s="2" customFormat="1" ht="14.25" customHeight="1" x14ac:dyDescent="0.25">
      <c r="A177" s="77"/>
      <c r="B177" s="85"/>
      <c r="C177" s="6"/>
      <c r="D177" s="83" t="s">
        <v>147</v>
      </c>
      <c r="E177" s="30">
        <f>225+100</f>
        <v>325</v>
      </c>
      <c r="F177" s="37">
        <f>558000+25000</f>
        <v>583000</v>
      </c>
      <c r="G177" s="4"/>
      <c r="H177" s="17"/>
      <c r="I177" s="416"/>
      <c r="J177" s="17"/>
    </row>
    <row r="178" spans="1:10" s="2" customFormat="1" ht="14.25" customHeight="1" x14ac:dyDescent="0.25">
      <c r="A178" s="77"/>
      <c r="B178" s="85"/>
      <c r="C178" s="6"/>
      <c r="D178" s="83" t="s">
        <v>198</v>
      </c>
      <c r="E178" s="30">
        <f>100</f>
        <v>100</v>
      </c>
      <c r="F178" s="37">
        <f>25000</f>
        <v>25000</v>
      </c>
      <c r="G178" s="4"/>
      <c r="H178" s="17"/>
      <c r="I178" s="416"/>
      <c r="J178" s="17"/>
    </row>
    <row r="179" spans="1:10" s="2" customFormat="1" ht="14.25" customHeight="1" x14ac:dyDescent="0.25">
      <c r="A179" s="77"/>
      <c r="B179" s="85"/>
      <c r="C179" s="6"/>
      <c r="D179" s="83" t="s">
        <v>199</v>
      </c>
      <c r="E179" s="30">
        <f>100</f>
        <v>100</v>
      </c>
      <c r="F179" s="37">
        <f>25000</f>
        <v>25000</v>
      </c>
      <c r="G179" s="4"/>
      <c r="H179" s="17"/>
      <c r="I179" s="416"/>
      <c r="J179" s="17"/>
    </row>
    <row r="180" spans="1:10" s="2" customFormat="1" ht="14.25" customHeight="1" x14ac:dyDescent="0.25">
      <c r="A180" s="153"/>
      <c r="B180" s="190"/>
      <c r="C180" s="6"/>
      <c r="D180" s="83" t="s">
        <v>200</v>
      </c>
      <c r="E180" s="30">
        <f>225+100</f>
        <v>325</v>
      </c>
      <c r="F180" s="37">
        <f>558000+25000</f>
        <v>583000</v>
      </c>
      <c r="G180" s="114"/>
      <c r="H180" s="145"/>
      <c r="I180" s="422"/>
      <c r="J180" s="145"/>
    </row>
    <row r="181" spans="1:10" s="51" customFormat="1" ht="14.25" customHeight="1" x14ac:dyDescent="0.25">
      <c r="A181" s="115"/>
      <c r="B181" s="192"/>
      <c r="C181" s="194"/>
      <c r="D181" s="116"/>
      <c r="E181" s="117"/>
      <c r="F181" s="118"/>
      <c r="H181" s="58"/>
      <c r="J181" s="58"/>
    </row>
    <row r="182" spans="1:10" s="51" customFormat="1" ht="14.25" customHeight="1" x14ac:dyDescent="0.25">
      <c r="A182" s="115"/>
      <c r="B182" s="192"/>
      <c r="C182" s="194"/>
      <c r="D182" s="116"/>
      <c r="E182" s="117"/>
      <c r="F182" s="118"/>
      <c r="H182" s="58"/>
      <c r="J182" s="58"/>
    </row>
    <row r="183" spans="1:10" s="9" customFormat="1" ht="18.75" customHeight="1" x14ac:dyDescent="0.25">
      <c r="A183" s="926" t="s">
        <v>201</v>
      </c>
      <c r="B183" s="831" t="s">
        <v>202</v>
      </c>
      <c r="C183" s="926" t="s">
        <v>65</v>
      </c>
      <c r="D183" s="155" t="s">
        <v>81</v>
      </c>
      <c r="E183" s="161">
        <f t="shared" ref="E183:J183" si="28">E184+E189</f>
        <v>167</v>
      </c>
      <c r="F183" s="158">
        <f t="shared" si="28"/>
        <v>402800</v>
      </c>
      <c r="G183" s="161">
        <f t="shared" si="28"/>
        <v>0</v>
      </c>
      <c r="H183" s="158">
        <f t="shared" si="28"/>
        <v>0</v>
      </c>
      <c r="I183" s="161">
        <f t="shared" si="28"/>
        <v>0</v>
      </c>
      <c r="J183" s="158">
        <f t="shared" si="28"/>
        <v>0</v>
      </c>
    </row>
    <row r="184" spans="1:10" s="3" customFormat="1" ht="19.5" customHeight="1" x14ac:dyDescent="0.25">
      <c r="A184" s="1037"/>
      <c r="B184" s="832"/>
      <c r="C184" s="927"/>
      <c r="D184" s="70" t="s">
        <v>79</v>
      </c>
      <c r="E184" s="70">
        <f t="shared" ref="E184:J184" si="29">SUM(E185:E188)</f>
        <v>158</v>
      </c>
      <c r="F184" s="84">
        <f t="shared" si="29"/>
        <v>390300</v>
      </c>
      <c r="G184" s="70">
        <f t="shared" si="29"/>
        <v>0</v>
      </c>
      <c r="H184" s="71">
        <f t="shared" si="29"/>
        <v>0</v>
      </c>
      <c r="I184" s="70">
        <f t="shared" si="29"/>
        <v>0</v>
      </c>
      <c r="J184" s="84">
        <f t="shared" si="29"/>
        <v>0</v>
      </c>
    </row>
    <row r="185" spans="1:10" s="2" customFormat="1" ht="14.25" customHeight="1" x14ac:dyDescent="0.25">
      <c r="A185" s="191"/>
      <c r="B185" s="832"/>
      <c r="C185" s="6"/>
      <c r="D185" s="83" t="s">
        <v>190</v>
      </c>
      <c r="E185" s="30"/>
      <c r="F185" s="37"/>
      <c r="G185" s="4"/>
      <c r="H185" s="17"/>
      <c r="I185" s="416"/>
      <c r="J185" s="17"/>
    </row>
    <row r="186" spans="1:10" s="2" customFormat="1" ht="14.25" customHeight="1" x14ac:dyDescent="0.25">
      <c r="A186" s="918"/>
      <c r="B186" s="832"/>
      <c r="C186" s="6"/>
      <c r="D186" s="83" t="s">
        <v>191</v>
      </c>
      <c r="E186" s="30">
        <f>158</f>
        <v>158</v>
      </c>
      <c r="F186" s="37">
        <f>390300</f>
        <v>390300</v>
      </c>
      <c r="G186" s="4"/>
      <c r="H186" s="17"/>
      <c r="I186" s="416"/>
      <c r="J186" s="17"/>
    </row>
    <row r="187" spans="1:10" s="2" customFormat="1" ht="14.25" customHeight="1" x14ac:dyDescent="0.25">
      <c r="A187" s="918"/>
      <c r="B187" s="85"/>
      <c r="C187" s="6"/>
      <c r="D187" s="83" t="s">
        <v>192</v>
      </c>
      <c r="E187" s="30"/>
      <c r="F187" s="37"/>
      <c r="G187" s="4"/>
      <c r="H187" s="17"/>
      <c r="I187" s="416"/>
      <c r="J187" s="17"/>
    </row>
    <row r="188" spans="1:10" s="2" customFormat="1" ht="14.25" customHeight="1" x14ac:dyDescent="0.25">
      <c r="A188" s="918"/>
      <c r="B188" s="85"/>
      <c r="C188" s="6"/>
      <c r="D188" s="83" t="s">
        <v>193</v>
      </c>
      <c r="E188" s="30"/>
      <c r="F188" s="37"/>
      <c r="G188" s="4"/>
      <c r="H188" s="17"/>
      <c r="I188" s="416"/>
      <c r="J188" s="17"/>
    </row>
    <row r="189" spans="1:10" s="2" customFormat="1" ht="16.5" customHeight="1" x14ac:dyDescent="0.25">
      <c r="A189" s="104"/>
      <c r="B189" s="85"/>
      <c r="C189" s="6"/>
      <c r="D189" s="70" t="s">
        <v>80</v>
      </c>
      <c r="E189" s="70">
        <f t="shared" ref="E189:J189" si="30">SUM(E190:E199)</f>
        <v>9</v>
      </c>
      <c r="F189" s="84">
        <f t="shared" si="30"/>
        <v>12500</v>
      </c>
      <c r="G189" s="70">
        <f t="shared" si="30"/>
        <v>0</v>
      </c>
      <c r="H189" s="71">
        <f t="shared" si="30"/>
        <v>0</v>
      </c>
      <c r="I189" s="70">
        <f t="shared" si="30"/>
        <v>0</v>
      </c>
      <c r="J189" s="84">
        <f t="shared" si="30"/>
        <v>0</v>
      </c>
    </row>
    <row r="190" spans="1:10" s="2" customFormat="1" ht="14.25" customHeight="1" x14ac:dyDescent="0.25">
      <c r="A190" s="104"/>
      <c r="B190" s="85"/>
      <c r="C190" s="6"/>
      <c r="D190" s="83" t="s">
        <v>194</v>
      </c>
      <c r="E190" s="30"/>
      <c r="F190" s="37"/>
      <c r="G190" s="4"/>
      <c r="H190" s="17"/>
      <c r="I190" s="416"/>
      <c r="J190" s="17"/>
    </row>
    <row r="191" spans="1:10" s="2" customFormat="1" ht="14.25" customHeight="1" x14ac:dyDescent="0.25">
      <c r="A191" s="104"/>
      <c r="B191" s="85"/>
      <c r="C191" s="6"/>
      <c r="D191" s="83" t="s">
        <v>195</v>
      </c>
      <c r="E191" s="30"/>
      <c r="F191" s="37"/>
      <c r="G191" s="4"/>
      <c r="H191" s="17"/>
      <c r="I191" s="416"/>
      <c r="J191" s="17"/>
    </row>
    <row r="192" spans="1:10" s="2" customFormat="1" ht="14.25" customHeight="1" x14ac:dyDescent="0.25">
      <c r="A192" s="104"/>
      <c r="B192" s="113"/>
      <c r="C192" s="6"/>
      <c r="D192" s="83" t="s">
        <v>196</v>
      </c>
      <c r="E192" s="30"/>
      <c r="F192" s="37"/>
      <c r="G192" s="4"/>
      <c r="H192" s="17"/>
      <c r="I192" s="416"/>
      <c r="J192" s="17"/>
    </row>
    <row r="193" spans="1:10" s="2" customFormat="1" ht="14.25" customHeight="1" x14ac:dyDescent="0.25">
      <c r="A193" s="104"/>
      <c r="B193" s="107"/>
      <c r="C193" s="6"/>
      <c r="D193" s="83" t="s">
        <v>11</v>
      </c>
      <c r="E193" s="30">
        <f>9</f>
        <v>9</v>
      </c>
      <c r="F193" s="37">
        <f>12500</f>
        <v>12500</v>
      </c>
      <c r="G193" s="4"/>
      <c r="H193" s="17"/>
      <c r="I193" s="416"/>
      <c r="J193" s="17"/>
    </row>
    <row r="194" spans="1:10" s="2" customFormat="1" ht="14.25" customHeight="1" x14ac:dyDescent="0.25">
      <c r="A194" s="104"/>
      <c r="B194" s="107"/>
      <c r="C194" s="6"/>
      <c r="D194" s="83" t="s">
        <v>12</v>
      </c>
      <c r="E194" s="30"/>
      <c r="F194" s="37"/>
      <c r="G194" s="4"/>
      <c r="H194" s="17"/>
      <c r="I194" s="416"/>
      <c r="J194" s="17"/>
    </row>
    <row r="195" spans="1:10" s="2" customFormat="1" ht="14.25" customHeight="1" x14ac:dyDescent="0.25">
      <c r="A195" s="104"/>
      <c r="B195" s="107"/>
      <c r="C195" s="6"/>
      <c r="D195" s="83" t="s">
        <v>197</v>
      </c>
      <c r="E195" s="30"/>
      <c r="F195" s="37"/>
      <c r="G195" s="4"/>
      <c r="H195" s="17"/>
      <c r="I195" s="416"/>
      <c r="J195" s="17"/>
    </row>
    <row r="196" spans="1:10" s="2" customFormat="1" ht="14.25" customHeight="1" x14ac:dyDescent="0.25">
      <c r="A196" s="104"/>
      <c r="B196" s="107"/>
      <c r="C196" s="6"/>
      <c r="D196" s="83" t="s">
        <v>147</v>
      </c>
      <c r="E196" s="30"/>
      <c r="F196" s="37"/>
      <c r="G196" s="4"/>
      <c r="H196" s="17"/>
      <c r="I196" s="416"/>
      <c r="J196" s="17"/>
    </row>
    <row r="197" spans="1:10" s="2" customFormat="1" ht="14.25" customHeight="1" x14ac:dyDescent="0.25">
      <c r="A197" s="104"/>
      <c r="B197" s="107"/>
      <c r="C197" s="6"/>
      <c r="D197" s="83" t="s">
        <v>198</v>
      </c>
      <c r="E197" s="30"/>
      <c r="F197" s="37"/>
      <c r="G197" s="4"/>
      <c r="H197" s="17"/>
      <c r="I197" s="416"/>
      <c r="J197" s="17"/>
    </row>
    <row r="198" spans="1:10" s="2" customFormat="1" ht="14.25" customHeight="1" x14ac:dyDescent="0.25">
      <c r="A198" s="104"/>
      <c r="B198" s="107"/>
      <c r="C198" s="6"/>
      <c r="D198" s="83" t="s">
        <v>199</v>
      </c>
      <c r="E198" s="30"/>
      <c r="F198" s="37"/>
      <c r="G198" s="4"/>
      <c r="H198" s="17"/>
      <c r="I198" s="416"/>
      <c r="J198" s="17"/>
    </row>
    <row r="199" spans="1:10" s="2" customFormat="1" ht="14.25" customHeight="1" x14ac:dyDescent="0.25">
      <c r="A199" s="153"/>
      <c r="B199" s="111"/>
      <c r="C199" s="6"/>
      <c r="D199" s="83" t="s">
        <v>200</v>
      </c>
      <c r="E199" s="30"/>
      <c r="F199" s="37"/>
      <c r="G199" s="4"/>
      <c r="H199" s="17"/>
      <c r="I199" s="416"/>
      <c r="J199" s="17"/>
    </row>
    <row r="200" spans="1:10" ht="36" customHeight="1" x14ac:dyDescent="0.25">
      <c r="A200" s="417" t="s">
        <v>0</v>
      </c>
      <c r="B200" s="418" t="s">
        <v>51</v>
      </c>
      <c r="C200" s="275"/>
      <c r="D200" s="420" t="s">
        <v>3</v>
      </c>
      <c r="E200" s="417" t="s">
        <v>253</v>
      </c>
      <c r="F200" s="417" t="s">
        <v>254</v>
      </c>
      <c r="G200" s="417" t="s">
        <v>253</v>
      </c>
      <c r="H200" s="417" t="s">
        <v>254</v>
      </c>
      <c r="I200" s="417" t="s">
        <v>253</v>
      </c>
      <c r="J200" s="417" t="s">
        <v>254</v>
      </c>
    </row>
    <row r="201" spans="1:10" ht="21.75" customHeight="1" x14ac:dyDescent="0.25">
      <c r="A201" s="418"/>
      <c r="B201" s="447"/>
      <c r="C201" s="275"/>
      <c r="D201" s="184" t="s">
        <v>81</v>
      </c>
      <c r="E201" s="161">
        <f t="shared" ref="E201:J201" si="31">E202+E207</f>
        <v>0</v>
      </c>
      <c r="F201" s="158">
        <f t="shared" si="31"/>
        <v>0</v>
      </c>
      <c r="G201" s="161">
        <f t="shared" si="31"/>
        <v>10</v>
      </c>
      <c r="H201" s="158">
        <f t="shared" si="31"/>
        <v>7140987.5</v>
      </c>
      <c r="I201" s="161">
        <f t="shared" si="31"/>
        <v>0</v>
      </c>
      <c r="J201" s="158">
        <f t="shared" si="31"/>
        <v>0</v>
      </c>
    </row>
    <row r="202" spans="1:10" s="2" customFormat="1" ht="14.25" customHeight="1" x14ac:dyDescent="0.25">
      <c r="A202" s="928" t="s">
        <v>252</v>
      </c>
      <c r="B202" s="1047" t="s">
        <v>251</v>
      </c>
      <c r="C202" s="416"/>
      <c r="D202" s="224" t="s">
        <v>286</v>
      </c>
      <c r="E202" s="416"/>
      <c r="F202" s="416"/>
      <c r="G202" s="224">
        <f>SUM(G204:G206)</f>
        <v>8</v>
      </c>
      <c r="H202" s="231">
        <f>SUM(H204:H206)</f>
        <v>3303487.5</v>
      </c>
      <c r="I202" s="224">
        <f>SUM(I204:I206)</f>
        <v>0</v>
      </c>
      <c r="J202" s="231">
        <f>SUM(J204:J206)</f>
        <v>0</v>
      </c>
    </row>
    <row r="203" spans="1:10" s="2" customFormat="1" ht="14.25" customHeight="1" x14ac:dyDescent="0.25">
      <c r="A203" s="928"/>
      <c r="B203" s="1047"/>
      <c r="C203" s="474"/>
      <c r="D203" s="83" t="s">
        <v>190</v>
      </c>
      <c r="E203" s="474"/>
      <c r="F203" s="474"/>
      <c r="G203" s="474"/>
      <c r="H203" s="474"/>
      <c r="I203" s="474"/>
      <c r="J203" s="17"/>
    </row>
    <row r="204" spans="1:10" s="2" customFormat="1" ht="14.25" customHeight="1" x14ac:dyDescent="0.25">
      <c r="A204" s="928"/>
      <c r="B204" s="1047"/>
      <c r="C204" s="416"/>
      <c r="D204" s="259" t="s">
        <v>311</v>
      </c>
      <c r="E204" s="416"/>
      <c r="F204" s="416"/>
      <c r="G204" s="260">
        <v>4</v>
      </c>
      <c r="H204" s="284">
        <v>1330000</v>
      </c>
      <c r="I204" s="416"/>
      <c r="J204" s="17"/>
    </row>
    <row r="205" spans="1:10" s="2" customFormat="1" ht="14.25" customHeight="1" x14ac:dyDescent="0.25">
      <c r="A205" s="928"/>
      <c r="B205" s="1047"/>
      <c r="C205" s="474"/>
      <c r="D205" s="83" t="s">
        <v>192</v>
      </c>
      <c r="E205" s="474"/>
      <c r="F205" s="474"/>
      <c r="G205" s="260"/>
      <c r="H205" s="284"/>
      <c r="I205" s="474"/>
      <c r="J205" s="17"/>
    </row>
    <row r="206" spans="1:10" s="2" customFormat="1" ht="14.25" customHeight="1" x14ac:dyDescent="0.25">
      <c r="A206" s="928"/>
      <c r="B206" s="1047"/>
      <c r="C206" s="416"/>
      <c r="D206" s="259" t="s">
        <v>193</v>
      </c>
      <c r="E206" s="416"/>
      <c r="F206" s="416"/>
      <c r="G206" s="260">
        <v>4</v>
      </c>
      <c r="H206" s="284">
        <v>1973487.5</v>
      </c>
      <c r="I206" s="416"/>
      <c r="J206" s="17"/>
    </row>
    <row r="207" spans="1:10" s="2" customFormat="1" ht="14.25" customHeight="1" x14ac:dyDescent="0.25">
      <c r="A207" s="928" t="s">
        <v>252</v>
      </c>
      <c r="B207" s="1047" t="s">
        <v>251</v>
      </c>
      <c r="C207" s="416"/>
      <c r="D207" s="224" t="s">
        <v>272</v>
      </c>
      <c r="E207" s="416"/>
      <c r="F207" s="416"/>
      <c r="G207" s="224">
        <f>SUM(G213:G217)</f>
        <v>2</v>
      </c>
      <c r="H207" s="231">
        <f>SUM(H213:H217)</f>
        <v>3837500</v>
      </c>
      <c r="I207" s="224">
        <f>SUM(I213:I217)</f>
        <v>0</v>
      </c>
      <c r="J207" s="231">
        <f>SUM(J213:J217)</f>
        <v>0</v>
      </c>
    </row>
    <row r="208" spans="1:10" s="2" customFormat="1" ht="14.25" customHeight="1" x14ac:dyDescent="0.25">
      <c r="A208" s="928"/>
      <c r="B208" s="1047"/>
      <c r="C208" s="474"/>
      <c r="D208" s="83" t="s">
        <v>194</v>
      </c>
      <c r="E208" s="474"/>
      <c r="F208" s="474"/>
      <c r="G208" s="474"/>
      <c r="H208" s="474"/>
      <c r="I208" s="474"/>
      <c r="J208" s="17"/>
    </row>
    <row r="209" spans="1:10" s="2" customFormat="1" ht="14.25" customHeight="1" x14ac:dyDescent="0.25">
      <c r="A209" s="928"/>
      <c r="B209" s="1047"/>
      <c r="C209" s="474"/>
      <c r="D209" s="83" t="s">
        <v>195</v>
      </c>
      <c r="E209" s="474"/>
      <c r="F209" s="474"/>
      <c r="G209" s="474"/>
      <c r="H209" s="474"/>
      <c r="I209" s="474"/>
      <c r="J209" s="17"/>
    </row>
    <row r="210" spans="1:10" s="2" customFormat="1" ht="14.25" customHeight="1" x14ac:dyDescent="0.25">
      <c r="A210" s="928"/>
      <c r="B210" s="1047"/>
      <c r="C210" s="474"/>
      <c r="D210" s="83" t="s">
        <v>196</v>
      </c>
      <c r="E210" s="474"/>
      <c r="F210" s="474"/>
      <c r="G210" s="474"/>
      <c r="H210" s="474"/>
      <c r="I210" s="474"/>
      <c r="J210" s="17"/>
    </row>
    <row r="211" spans="1:10" s="2" customFormat="1" ht="14.25" customHeight="1" x14ac:dyDescent="0.25">
      <c r="A211" s="928"/>
      <c r="B211" s="1047"/>
      <c r="C211" s="474"/>
      <c r="D211" s="83" t="s">
        <v>11</v>
      </c>
      <c r="E211" s="474"/>
      <c r="F211" s="474"/>
      <c r="G211" s="474"/>
      <c r="H211" s="474"/>
      <c r="I211" s="474"/>
      <c r="J211" s="17"/>
    </row>
    <row r="212" spans="1:10" s="2" customFormat="1" ht="14.25" customHeight="1" x14ac:dyDescent="0.25">
      <c r="A212" s="928"/>
      <c r="B212" s="1047"/>
      <c r="C212" s="474"/>
      <c r="D212" s="83" t="s">
        <v>12</v>
      </c>
      <c r="E212" s="474"/>
      <c r="F212" s="474"/>
      <c r="G212" s="474"/>
      <c r="H212" s="474"/>
      <c r="I212" s="474"/>
      <c r="J212" s="17"/>
    </row>
    <row r="213" spans="1:10" s="2" customFormat="1" ht="14.25" customHeight="1" x14ac:dyDescent="0.25">
      <c r="A213" s="928"/>
      <c r="B213" s="1047"/>
      <c r="C213" s="416"/>
      <c r="D213" s="259" t="s">
        <v>13</v>
      </c>
      <c r="E213" s="416"/>
      <c r="F213" s="416"/>
      <c r="G213" s="260">
        <v>1</v>
      </c>
      <c r="H213" s="284">
        <v>2337500</v>
      </c>
      <c r="I213" s="416"/>
      <c r="J213" s="17"/>
    </row>
    <row r="214" spans="1:10" s="2" customFormat="1" ht="14.25" customHeight="1" x14ac:dyDescent="0.25">
      <c r="A214" s="928"/>
      <c r="B214" s="1047"/>
      <c r="C214" s="474"/>
      <c r="D214" s="83" t="s">
        <v>147</v>
      </c>
      <c r="E214" s="474"/>
      <c r="F214" s="474"/>
      <c r="G214" s="260"/>
      <c r="H214" s="284"/>
      <c r="I214" s="474"/>
      <c r="J214" s="17"/>
    </row>
    <row r="215" spans="1:10" s="2" customFormat="1" ht="14.25" customHeight="1" x14ac:dyDescent="0.25">
      <c r="A215" s="928"/>
      <c r="B215" s="1047"/>
      <c r="C215" s="474"/>
      <c r="D215" s="83" t="s">
        <v>198</v>
      </c>
      <c r="E215" s="474"/>
      <c r="F215" s="474"/>
      <c r="G215" s="260"/>
      <c r="H215" s="284"/>
      <c r="I215" s="474"/>
      <c r="J215" s="17"/>
    </row>
    <row r="216" spans="1:10" s="2" customFormat="1" ht="14.25" customHeight="1" x14ac:dyDescent="0.25">
      <c r="A216" s="928"/>
      <c r="B216" s="1047"/>
      <c r="C216" s="474"/>
      <c r="D216" s="83" t="s">
        <v>199</v>
      </c>
      <c r="E216" s="474"/>
      <c r="F216" s="474"/>
      <c r="G216" s="260"/>
      <c r="H216" s="284"/>
      <c r="I216" s="474"/>
      <c r="J216" s="17"/>
    </row>
    <row r="217" spans="1:10" s="2" customFormat="1" ht="14.25" customHeight="1" x14ac:dyDescent="0.25">
      <c r="A217" s="928"/>
      <c r="B217" s="1047"/>
      <c r="C217" s="416"/>
      <c r="D217" s="259" t="s">
        <v>200</v>
      </c>
      <c r="E217" s="416"/>
      <c r="F217" s="416"/>
      <c r="G217" s="260">
        <v>1</v>
      </c>
      <c r="H217" s="284">
        <v>1500000</v>
      </c>
      <c r="I217" s="416"/>
      <c r="J217" s="17"/>
    </row>
    <row r="218" spans="1:10" s="2" customFormat="1" ht="14.25" customHeight="1" x14ac:dyDescent="0.25">
      <c r="A218" s="115"/>
      <c r="B218" s="50"/>
      <c r="C218" s="194"/>
      <c r="D218" s="116"/>
      <c r="E218" s="117"/>
      <c r="F218" s="118"/>
      <c r="G218" s="51"/>
      <c r="H218" s="58"/>
      <c r="I218" s="51"/>
      <c r="J218" s="58"/>
    </row>
    <row r="219" spans="1:10" s="2" customFormat="1" ht="14.25" customHeight="1" x14ac:dyDescent="0.25">
      <c r="A219" s="115"/>
      <c r="B219" s="50"/>
      <c r="C219" s="194"/>
      <c r="D219" s="116"/>
      <c r="E219" s="117"/>
      <c r="F219" s="118"/>
      <c r="G219" s="51"/>
      <c r="H219" s="58"/>
      <c r="I219" s="51"/>
      <c r="J219" s="58"/>
    </row>
    <row r="220" spans="1:10" s="2" customFormat="1" ht="14.25" customHeight="1" x14ac:dyDescent="0.25">
      <c r="A220" s="115"/>
      <c r="B220" s="50"/>
      <c r="C220" s="194"/>
      <c r="D220" s="116"/>
      <c r="E220" s="117"/>
      <c r="F220" s="118"/>
      <c r="G220" s="51"/>
      <c r="H220" s="58"/>
      <c r="I220" s="51"/>
      <c r="J220" s="58"/>
    </row>
    <row r="221" spans="1:10" s="2" customFormat="1" ht="14.25" customHeight="1" x14ac:dyDescent="0.25">
      <c r="A221" s="115"/>
      <c r="B221" s="50"/>
      <c r="C221" s="194"/>
      <c r="D221" s="116"/>
      <c r="E221" s="117"/>
      <c r="F221" s="118"/>
      <c r="G221" s="51"/>
      <c r="H221" s="58"/>
      <c r="I221" s="51"/>
      <c r="J221" s="58"/>
    </row>
    <row r="222" spans="1:10" s="2" customFormat="1" ht="14.25" customHeight="1" x14ac:dyDescent="0.25">
      <c r="A222" s="115"/>
      <c r="B222" s="50"/>
      <c r="C222" s="194"/>
      <c r="D222" s="116"/>
      <c r="E222" s="117"/>
      <c r="F222" s="118"/>
      <c r="G222" s="51"/>
      <c r="H222" s="58"/>
      <c r="I222" s="51"/>
      <c r="J222" s="58"/>
    </row>
    <row r="223" spans="1:10" s="2" customFormat="1" ht="14.25" customHeight="1" x14ac:dyDescent="0.25">
      <c r="A223" s="115"/>
      <c r="B223" s="50"/>
      <c r="C223" s="194"/>
      <c r="D223" s="116"/>
      <c r="E223" s="117"/>
      <c r="F223" s="118"/>
      <c r="G223" s="51"/>
      <c r="H223" s="58"/>
      <c r="I223" s="51"/>
      <c r="J223" s="58"/>
    </row>
    <row r="224" spans="1:10" s="2" customFormat="1" ht="14.25" customHeight="1" x14ac:dyDescent="0.25">
      <c r="A224" s="115"/>
      <c r="B224" s="50"/>
      <c r="C224" s="194"/>
      <c r="D224" s="116"/>
      <c r="E224" s="117"/>
      <c r="F224" s="118"/>
      <c r="G224" s="51"/>
      <c r="H224" s="58"/>
      <c r="I224" s="51"/>
      <c r="J224" s="58"/>
    </row>
    <row r="225" spans="1:6" x14ac:dyDescent="0.25">
      <c r="A225" t="s">
        <v>26</v>
      </c>
      <c r="B225" t="s">
        <v>28</v>
      </c>
      <c r="D225" t="s">
        <v>31</v>
      </c>
      <c r="F225"/>
    </row>
    <row r="226" spans="1:6" x14ac:dyDescent="0.25">
      <c r="F226"/>
    </row>
    <row r="227" spans="1:6" x14ac:dyDescent="0.25">
      <c r="F227"/>
    </row>
    <row r="228" spans="1:6" x14ac:dyDescent="0.25">
      <c r="F228"/>
    </row>
    <row r="229" spans="1:6" x14ac:dyDescent="0.25">
      <c r="A229" t="s">
        <v>27</v>
      </c>
      <c r="B229" t="s">
        <v>29</v>
      </c>
      <c r="D229" t="s">
        <v>32</v>
      </c>
      <c r="F229"/>
    </row>
    <row r="230" spans="1:6" x14ac:dyDescent="0.25">
      <c r="A230" t="s">
        <v>223</v>
      </c>
      <c r="B230" t="s">
        <v>30</v>
      </c>
      <c r="D230" t="s">
        <v>33</v>
      </c>
      <c r="F230"/>
    </row>
  </sheetData>
  <mergeCells count="51">
    <mergeCell ref="C84:C87"/>
    <mergeCell ref="A84:A87"/>
    <mergeCell ref="C125:C129"/>
    <mergeCell ref="A105:A107"/>
    <mergeCell ref="A50:A52"/>
    <mergeCell ref="B47:B63"/>
    <mergeCell ref="A68:A70"/>
    <mergeCell ref="A65:A66"/>
    <mergeCell ref="B65:B69"/>
    <mergeCell ref="A1:J1"/>
    <mergeCell ref="A2:J2"/>
    <mergeCell ref="A4:J4"/>
    <mergeCell ref="B11:B18"/>
    <mergeCell ref="A47:A48"/>
    <mergeCell ref="A32:A34"/>
    <mergeCell ref="A11:A12"/>
    <mergeCell ref="C11:C12"/>
    <mergeCell ref="A29:A30"/>
    <mergeCell ref="C29:C30"/>
    <mergeCell ref="A14:A16"/>
    <mergeCell ref="B29:B45"/>
    <mergeCell ref="C47:C48"/>
    <mergeCell ref="B7:B8"/>
    <mergeCell ref="C7:C8"/>
    <mergeCell ref="D7:D8"/>
    <mergeCell ref="G7:H7"/>
    <mergeCell ref="E7:F7"/>
    <mergeCell ref="I7:J7"/>
    <mergeCell ref="A202:A206"/>
    <mergeCell ref="B202:B206"/>
    <mergeCell ref="A129:A131"/>
    <mergeCell ref="B125:B129"/>
    <mergeCell ref="A7:A8"/>
    <mergeCell ref="C183:C184"/>
    <mergeCell ref="C164:C165"/>
    <mergeCell ref="C102:C105"/>
    <mergeCell ref="A125:A126"/>
    <mergeCell ref="A102:A103"/>
    <mergeCell ref="B102:B105"/>
    <mergeCell ref="C65:C69"/>
    <mergeCell ref="B84:B87"/>
    <mergeCell ref="A207:A217"/>
    <mergeCell ref="B207:B217"/>
    <mergeCell ref="A186:A188"/>
    <mergeCell ref="B146:B162"/>
    <mergeCell ref="A149:A151"/>
    <mergeCell ref="A167:A169"/>
    <mergeCell ref="A183:A184"/>
    <mergeCell ref="B183:B186"/>
    <mergeCell ref="A164:A165"/>
    <mergeCell ref="B164:B170"/>
  </mergeCells>
  <printOptions horizontalCentered="1"/>
  <pageMargins left="0.52" right="0.92" top="0.68" bottom="0.69" header="0.3" footer="0.4"/>
  <pageSetup paperSize="9" scale="80" orientation="landscape" verticalDpi="300" r:id="rId1"/>
  <headerFooter>
    <oddFooter>&amp;LProvince of Zambales
&amp;CPage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6" sqref="A6:F12"/>
    </sheetView>
  </sheetViews>
  <sheetFormatPr defaultRowHeight="15" x14ac:dyDescent="0.25"/>
  <cols>
    <col min="1" max="1" width="30.85546875" customWidth="1"/>
    <col min="2" max="2" width="42" customWidth="1"/>
    <col min="3" max="3" width="15.140625" customWidth="1"/>
    <col min="4" max="4" width="16.7109375" customWidth="1"/>
    <col min="5" max="5" width="12.140625" customWidth="1"/>
    <col min="6" max="6" width="18.5703125" customWidth="1"/>
  </cols>
  <sheetData>
    <row r="1" spans="1:6" x14ac:dyDescent="0.25">
      <c r="A1" s="858" t="s">
        <v>39</v>
      </c>
      <c r="B1" s="858"/>
      <c r="C1" s="858"/>
      <c r="D1" s="858"/>
      <c r="E1" s="858"/>
      <c r="F1" s="858"/>
    </row>
    <row r="2" spans="1:6" x14ac:dyDescent="0.25">
      <c r="A2" s="858" t="s">
        <v>40</v>
      </c>
      <c r="B2" s="858"/>
      <c r="C2" s="858"/>
      <c r="D2" s="858"/>
      <c r="E2" s="858"/>
      <c r="F2" s="858"/>
    </row>
    <row r="3" spans="1:6" x14ac:dyDescent="0.25">
      <c r="A3" s="216"/>
      <c r="B3" s="216"/>
      <c r="C3" s="216"/>
      <c r="D3" s="216"/>
      <c r="E3" s="216"/>
      <c r="F3" s="216"/>
    </row>
    <row r="4" spans="1:6" s="47" customFormat="1" ht="15.75" x14ac:dyDescent="0.25">
      <c r="A4" s="844" t="s">
        <v>255</v>
      </c>
      <c r="B4" s="844"/>
      <c r="C4" s="844"/>
      <c r="D4" s="844"/>
      <c r="E4" s="844"/>
      <c r="F4" s="844"/>
    </row>
    <row r="5" spans="1:6" s="48" customFormat="1" x14ac:dyDescent="0.25"/>
    <row r="6" spans="1:6" s="3" customFormat="1" ht="15" customHeight="1" x14ac:dyDescent="0.25">
      <c r="A6" s="859" t="s">
        <v>0</v>
      </c>
      <c r="B6" s="860" t="s">
        <v>51</v>
      </c>
      <c r="C6" s="859" t="s">
        <v>4</v>
      </c>
      <c r="D6" s="862" t="s">
        <v>3</v>
      </c>
      <c r="E6" s="860" t="s">
        <v>253</v>
      </c>
      <c r="F6" s="859" t="s">
        <v>254</v>
      </c>
    </row>
    <row r="7" spans="1:6" s="3" customFormat="1" ht="21" customHeight="1" x14ac:dyDescent="0.25">
      <c r="A7" s="859"/>
      <c r="B7" s="861"/>
      <c r="C7" s="859"/>
      <c r="D7" s="863"/>
      <c r="E7" s="861"/>
      <c r="F7" s="859"/>
    </row>
    <row r="8" spans="1:6" s="3" customFormat="1" ht="27.75" customHeight="1" x14ac:dyDescent="0.25">
      <c r="A8" s="869" t="s">
        <v>317</v>
      </c>
      <c r="B8" s="867" t="s">
        <v>251</v>
      </c>
      <c r="C8" s="871"/>
      <c r="D8" s="224" t="s">
        <v>82</v>
      </c>
      <c r="E8" s="224">
        <f>SUM(E9:E12)</f>
        <v>16</v>
      </c>
      <c r="F8" s="232">
        <f>SUM(F9:F12)</f>
        <v>10122500</v>
      </c>
    </row>
    <row r="9" spans="1:6" s="3" customFormat="1" ht="21.75" customHeight="1" x14ac:dyDescent="0.25">
      <c r="A9" s="870"/>
      <c r="B9" s="868"/>
      <c r="C9" s="872"/>
      <c r="D9" s="4" t="s">
        <v>83</v>
      </c>
      <c r="E9" s="30">
        <v>4</v>
      </c>
      <c r="F9" s="31">
        <v>1275000</v>
      </c>
    </row>
    <row r="10" spans="1:6" s="2" customFormat="1" ht="14.25" customHeight="1" x14ac:dyDescent="0.25">
      <c r="A10" s="870"/>
      <c r="B10" s="868"/>
      <c r="C10" s="872"/>
      <c r="D10" s="4" t="s">
        <v>84</v>
      </c>
      <c r="E10" s="30">
        <v>5</v>
      </c>
      <c r="F10" s="31">
        <v>2210000</v>
      </c>
    </row>
    <row r="11" spans="1:6" s="2" customFormat="1" ht="14.25" customHeight="1" x14ac:dyDescent="0.25">
      <c r="A11" s="870"/>
      <c r="B11" s="868"/>
      <c r="C11" s="872"/>
      <c r="D11" s="4" t="s">
        <v>85</v>
      </c>
      <c r="E11" s="30">
        <v>3</v>
      </c>
      <c r="F11" s="31">
        <v>1312500</v>
      </c>
    </row>
    <row r="12" spans="1:6" s="2" customFormat="1" ht="14.25" customHeight="1" x14ac:dyDescent="0.25">
      <c r="A12" s="873"/>
      <c r="B12" s="874"/>
      <c r="C12" s="875"/>
      <c r="D12" s="4" t="s">
        <v>87</v>
      </c>
      <c r="E12" s="30">
        <v>4</v>
      </c>
      <c r="F12" s="31">
        <v>5325000</v>
      </c>
    </row>
    <row r="14" spans="1:6" ht="14.45" x14ac:dyDescent="0.3">
      <c r="A14" t="s">
        <v>27</v>
      </c>
      <c r="B14" t="s">
        <v>29</v>
      </c>
      <c r="D14" t="s">
        <v>32</v>
      </c>
    </row>
    <row r="15" spans="1:6" x14ac:dyDescent="0.25">
      <c r="A15" t="s">
        <v>223</v>
      </c>
      <c r="B15" t="s">
        <v>30</v>
      </c>
      <c r="D15" t="s">
        <v>33</v>
      </c>
    </row>
  </sheetData>
  <mergeCells count="12">
    <mergeCell ref="A8:A12"/>
    <mergeCell ref="B8:B12"/>
    <mergeCell ref="C8:C12"/>
    <mergeCell ref="A1:F1"/>
    <mergeCell ref="A2:F2"/>
    <mergeCell ref="A4:F4"/>
    <mergeCell ref="A6:A7"/>
    <mergeCell ref="B6:B7"/>
    <mergeCell ref="C6:C7"/>
    <mergeCell ref="D6:D7"/>
    <mergeCell ref="E6:E7"/>
    <mergeCell ref="F6:F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opLeftCell="A70" workbookViewId="0">
      <selection activeCell="D86" sqref="D86:I92"/>
    </sheetView>
  </sheetViews>
  <sheetFormatPr defaultRowHeight="15" x14ac:dyDescent="0.25"/>
  <cols>
    <col min="1" max="1" width="30.85546875" customWidth="1"/>
    <col min="2" max="2" width="42" customWidth="1"/>
    <col min="3" max="3" width="13.42578125" customWidth="1"/>
    <col min="4" max="4" width="14.85546875" customWidth="1"/>
    <col min="5" max="5" width="10.85546875" customWidth="1"/>
    <col min="6" max="6" width="16.42578125" customWidth="1"/>
    <col min="7" max="7" width="14.28515625" customWidth="1"/>
    <col min="8" max="8" width="11.140625" customWidth="1"/>
    <col min="9" max="9" width="17.42578125" customWidth="1"/>
  </cols>
  <sheetData>
    <row r="1" spans="1:9" x14ac:dyDescent="0.25">
      <c r="A1" s="858" t="s">
        <v>39</v>
      </c>
      <c r="B1" s="858"/>
      <c r="C1" s="858"/>
      <c r="D1" s="858"/>
      <c r="E1" s="858"/>
      <c r="F1" s="858"/>
      <c r="G1" s="858"/>
      <c r="H1" s="858"/>
      <c r="I1" s="858"/>
    </row>
    <row r="2" spans="1:9" x14ac:dyDescent="0.25">
      <c r="A2" s="858" t="s">
        <v>40</v>
      </c>
      <c r="B2" s="858"/>
      <c r="C2" s="858"/>
      <c r="D2" s="858"/>
      <c r="E2" s="858"/>
      <c r="F2" s="858"/>
      <c r="G2" s="858"/>
      <c r="H2" s="858"/>
      <c r="I2" s="858"/>
    </row>
    <row r="3" spans="1:9" x14ac:dyDescent="0.25">
      <c r="A3" s="29"/>
      <c r="B3" s="29"/>
      <c r="C3" s="29"/>
      <c r="D3" s="29"/>
      <c r="E3" s="29"/>
      <c r="F3" s="29"/>
      <c r="G3" s="29"/>
      <c r="H3" s="29"/>
      <c r="I3" s="29"/>
    </row>
    <row r="4" spans="1:9" s="47" customFormat="1" ht="15.75" x14ac:dyDescent="0.25">
      <c r="A4" s="844" t="s">
        <v>77</v>
      </c>
      <c r="B4" s="844"/>
      <c r="C4" s="844"/>
      <c r="D4" s="844"/>
      <c r="E4" s="844"/>
      <c r="F4" s="844"/>
      <c r="G4" s="844"/>
      <c r="H4" s="844"/>
      <c r="I4" s="844"/>
    </row>
    <row r="5" spans="1:9" s="47" customFormat="1" ht="15.75" x14ac:dyDescent="0.25">
      <c r="A5" s="844" t="s">
        <v>41</v>
      </c>
      <c r="B5" s="844"/>
      <c r="C5" s="844"/>
      <c r="D5" s="844"/>
      <c r="E5" s="844"/>
      <c r="F5" s="844"/>
      <c r="G5" s="844"/>
      <c r="H5" s="844"/>
      <c r="I5" s="844"/>
    </row>
    <row r="7" spans="1:9" s="48" customFormat="1" x14ac:dyDescent="0.25">
      <c r="A7" s="48" t="s">
        <v>70</v>
      </c>
    </row>
    <row r="8" spans="1:9" s="3" customFormat="1" ht="15" customHeight="1" x14ac:dyDescent="0.25">
      <c r="A8" s="859" t="s">
        <v>0</v>
      </c>
      <c r="B8" s="860" t="s">
        <v>51</v>
      </c>
      <c r="C8" s="859" t="s">
        <v>4</v>
      </c>
      <c r="D8" s="862" t="s">
        <v>3</v>
      </c>
      <c r="E8" s="862" t="s">
        <v>48</v>
      </c>
      <c r="F8" s="859" t="s">
        <v>1</v>
      </c>
      <c r="G8" s="1050" t="s">
        <v>2</v>
      </c>
      <c r="H8" s="1051" t="s">
        <v>59</v>
      </c>
      <c r="I8" s="1052"/>
    </row>
    <row r="9" spans="1:9" s="3" customFormat="1" ht="21" customHeight="1" x14ac:dyDescent="0.25">
      <c r="A9" s="860"/>
      <c r="B9" s="925"/>
      <c r="C9" s="860"/>
      <c r="D9" s="922"/>
      <c r="E9" s="922"/>
      <c r="F9" s="860"/>
      <c r="G9" s="862"/>
      <c r="H9" s="73" t="s">
        <v>48</v>
      </c>
      <c r="I9" s="73" t="s">
        <v>60</v>
      </c>
    </row>
    <row r="10" spans="1:9" s="12" customFormat="1" ht="20.25" customHeight="1" x14ac:dyDescent="0.25">
      <c r="A10" s="10" t="s">
        <v>14</v>
      </c>
      <c r="B10" s="10"/>
      <c r="C10" s="11"/>
      <c r="D10" s="11"/>
      <c r="E10" s="14"/>
      <c r="F10" s="13">
        <f>F12+F19+F26+F34+F42+F50+F66</f>
        <v>54224195.579999998</v>
      </c>
      <c r="G10" s="11"/>
      <c r="H10" s="11"/>
      <c r="I10" s="13" t="s">
        <v>69</v>
      </c>
    </row>
    <row r="11" spans="1:9" s="8" customFormat="1" ht="8.25" customHeight="1" x14ac:dyDescent="0.25">
      <c r="A11" s="7"/>
      <c r="B11" s="7"/>
      <c r="C11" s="7"/>
      <c r="D11" s="7"/>
      <c r="E11" s="7"/>
      <c r="F11" s="7"/>
      <c r="G11" s="7"/>
      <c r="H11" s="7"/>
      <c r="I11" s="7"/>
    </row>
    <row r="12" spans="1:9" s="3" customFormat="1" ht="27.75" customHeight="1" x14ac:dyDescent="0.25">
      <c r="A12" s="6" t="s">
        <v>5</v>
      </c>
      <c r="B12" s="831" t="s">
        <v>50</v>
      </c>
      <c r="C12" s="63" t="s">
        <v>21</v>
      </c>
      <c r="D12" s="70"/>
      <c r="E12" s="70">
        <f>SUM(E13:E18)</f>
        <v>6528</v>
      </c>
      <c r="F12" s="71">
        <f>SUM(F13:F18)</f>
        <v>40951600</v>
      </c>
      <c r="G12" s="72" t="s">
        <v>15</v>
      </c>
      <c r="H12" s="70">
        <f>SUM(H13:H18)</f>
        <v>6764</v>
      </c>
      <c r="I12" s="71">
        <f>SUM(I13:I18)</f>
        <v>101460000</v>
      </c>
    </row>
    <row r="13" spans="1:9" s="2" customFormat="1" ht="14.25" customHeight="1" x14ac:dyDescent="0.25">
      <c r="A13" s="18" t="s">
        <v>34</v>
      </c>
      <c r="B13" s="832"/>
      <c r="C13" s="4" t="s">
        <v>79</v>
      </c>
      <c r="D13" s="4" t="s">
        <v>71</v>
      </c>
      <c r="E13" s="30">
        <v>1152</v>
      </c>
      <c r="F13" s="31">
        <v>5641700</v>
      </c>
      <c r="G13" s="1053"/>
      <c r="H13" s="4">
        <v>1184</v>
      </c>
      <c r="I13" s="17">
        <v>17760000</v>
      </c>
    </row>
    <row r="14" spans="1:9" s="2" customFormat="1" ht="14.25" customHeight="1" x14ac:dyDescent="0.25">
      <c r="A14" s="972" t="s">
        <v>49</v>
      </c>
      <c r="B14" s="832"/>
      <c r="C14" s="4"/>
      <c r="D14" s="4" t="s">
        <v>72</v>
      </c>
      <c r="E14" s="30">
        <v>934</v>
      </c>
      <c r="F14" s="31">
        <v>6666300</v>
      </c>
      <c r="G14" s="1054"/>
      <c r="H14" s="4">
        <v>950</v>
      </c>
      <c r="I14" s="17">
        <v>14250000</v>
      </c>
    </row>
    <row r="15" spans="1:9" s="2" customFormat="1" ht="14.25" customHeight="1" x14ac:dyDescent="0.25">
      <c r="A15" s="918"/>
      <c r="B15" s="832"/>
      <c r="C15" s="4"/>
      <c r="D15" s="4" t="s">
        <v>73</v>
      </c>
      <c r="E15" s="30">
        <v>1254</v>
      </c>
      <c r="F15" s="31">
        <v>8308900</v>
      </c>
      <c r="G15" s="1054"/>
      <c r="H15" s="4">
        <v>1312</v>
      </c>
      <c r="I15" s="17">
        <v>19680000</v>
      </c>
    </row>
    <row r="16" spans="1:9" s="2" customFormat="1" ht="14.25" customHeight="1" x14ac:dyDescent="0.25">
      <c r="A16" s="918"/>
      <c r="B16" s="832"/>
      <c r="C16" s="4"/>
      <c r="D16" s="4" t="s">
        <v>74</v>
      </c>
      <c r="E16" s="30">
        <v>1310</v>
      </c>
      <c r="F16" s="31">
        <v>8338200</v>
      </c>
      <c r="G16" s="1054"/>
      <c r="H16" s="4">
        <v>1360</v>
      </c>
      <c r="I16" s="17">
        <v>20400000</v>
      </c>
    </row>
    <row r="17" spans="1:9" s="2" customFormat="1" ht="14.25" customHeight="1" x14ac:dyDescent="0.25">
      <c r="A17" s="918"/>
      <c r="B17" s="832"/>
      <c r="C17" s="4"/>
      <c r="D17" s="4" t="s">
        <v>75</v>
      </c>
      <c r="E17" s="30">
        <v>1175</v>
      </c>
      <c r="F17" s="31">
        <v>7502100</v>
      </c>
      <c r="G17" s="1054"/>
      <c r="H17" s="4">
        <v>1227</v>
      </c>
      <c r="I17" s="17">
        <v>18405000</v>
      </c>
    </row>
    <row r="18" spans="1:9" s="2" customFormat="1" ht="14.25" customHeight="1" x14ac:dyDescent="0.25">
      <c r="A18" s="918"/>
      <c r="B18" s="833"/>
      <c r="C18" s="4"/>
      <c r="D18" s="4" t="s">
        <v>76</v>
      </c>
      <c r="E18" s="30">
        <v>703</v>
      </c>
      <c r="F18" s="31">
        <v>4494400</v>
      </c>
      <c r="G18" s="1054"/>
      <c r="H18" s="4">
        <v>731</v>
      </c>
      <c r="I18" s="17">
        <v>10965000</v>
      </c>
    </row>
    <row r="19" spans="1:9" s="9" customFormat="1" ht="27" customHeight="1" x14ac:dyDescent="0.25">
      <c r="A19" s="6" t="s">
        <v>61</v>
      </c>
      <c r="B19" s="831" t="s">
        <v>62</v>
      </c>
      <c r="C19" s="63" t="s">
        <v>21</v>
      </c>
      <c r="D19" s="63"/>
      <c r="E19" s="63">
        <f>SUM(E20:E25)</f>
        <v>137</v>
      </c>
      <c r="F19" s="65">
        <f>SUM(F20:F25)</f>
        <v>862100</v>
      </c>
      <c r="G19" s="63" t="s">
        <v>15</v>
      </c>
      <c r="H19" s="63"/>
      <c r="I19" s="63"/>
    </row>
    <row r="20" spans="1:9" s="2" customFormat="1" ht="15" customHeight="1" x14ac:dyDescent="0.25">
      <c r="A20" s="25"/>
      <c r="B20" s="832"/>
      <c r="C20" s="4"/>
      <c r="D20" s="4" t="s">
        <v>71</v>
      </c>
      <c r="E20" s="30">
        <v>9</v>
      </c>
      <c r="F20" s="31">
        <v>51600</v>
      </c>
      <c r="G20" s="1053"/>
      <c r="H20" s="4"/>
      <c r="I20" s="4"/>
    </row>
    <row r="21" spans="1:9" s="2" customFormat="1" ht="15" customHeight="1" x14ac:dyDescent="0.25">
      <c r="A21" s="26"/>
      <c r="B21" s="832"/>
      <c r="C21" s="4"/>
      <c r="D21" s="4" t="s">
        <v>72</v>
      </c>
      <c r="E21" s="30">
        <v>73</v>
      </c>
      <c r="F21" s="37">
        <v>358500</v>
      </c>
      <c r="G21" s="1054"/>
      <c r="H21" s="4"/>
      <c r="I21" s="4"/>
    </row>
    <row r="22" spans="1:9" s="2" customFormat="1" ht="15" customHeight="1" x14ac:dyDescent="0.25">
      <c r="A22" s="26"/>
      <c r="B22" s="832"/>
      <c r="C22" s="4"/>
      <c r="D22" s="4" t="s">
        <v>73</v>
      </c>
      <c r="E22" s="30">
        <v>27</v>
      </c>
      <c r="F22" s="37">
        <v>151600</v>
      </c>
      <c r="G22" s="1054"/>
      <c r="H22" s="4"/>
      <c r="I22" s="4"/>
    </row>
    <row r="23" spans="1:9" s="2" customFormat="1" ht="15" customHeight="1" x14ac:dyDescent="0.25">
      <c r="A23" s="26"/>
      <c r="B23" s="832"/>
      <c r="C23" s="4"/>
      <c r="D23" s="4" t="s">
        <v>74</v>
      </c>
      <c r="E23" s="30">
        <v>23</v>
      </c>
      <c r="F23" s="31">
        <v>282200</v>
      </c>
      <c r="G23" s="1054"/>
      <c r="H23" s="4"/>
      <c r="I23" s="4"/>
    </row>
    <row r="24" spans="1:9" s="2" customFormat="1" ht="15" customHeight="1" x14ac:dyDescent="0.25">
      <c r="A24" s="26"/>
      <c r="B24" s="832"/>
      <c r="C24" s="4"/>
      <c r="D24" s="4" t="s">
        <v>75</v>
      </c>
      <c r="E24" s="30"/>
      <c r="F24" s="31"/>
      <c r="G24" s="1054"/>
      <c r="H24" s="4"/>
      <c r="I24" s="4"/>
    </row>
    <row r="25" spans="1:9" s="2" customFormat="1" ht="15" customHeight="1" x14ac:dyDescent="0.25">
      <c r="A25" s="27"/>
      <c r="B25" s="833"/>
      <c r="C25" s="4"/>
      <c r="D25" s="4" t="s">
        <v>76</v>
      </c>
      <c r="E25" s="30">
        <v>5</v>
      </c>
      <c r="F25" s="31">
        <v>18200</v>
      </c>
      <c r="G25" s="1055"/>
      <c r="H25" s="4"/>
      <c r="I25" s="4"/>
    </row>
    <row r="26" spans="1:9" s="9" customFormat="1" ht="27" customHeight="1" x14ac:dyDescent="0.25">
      <c r="A26" s="46" t="s">
        <v>7</v>
      </c>
      <c r="B26" s="832" t="s">
        <v>52</v>
      </c>
      <c r="C26" s="67" t="s">
        <v>53</v>
      </c>
      <c r="D26" s="67"/>
      <c r="E26" s="67">
        <f>SUM(E27:E32)</f>
        <v>80</v>
      </c>
      <c r="F26" s="68">
        <f>SUM(F27:F32)</f>
        <v>425000</v>
      </c>
      <c r="G26" s="67"/>
      <c r="H26" s="67">
        <f>SUM(H27:H32)</f>
        <v>200</v>
      </c>
      <c r="I26" s="69">
        <f>SUM(I27:I32)</f>
        <v>1090000</v>
      </c>
    </row>
    <row r="27" spans="1:9" s="2" customFormat="1" ht="15" customHeight="1" x14ac:dyDescent="0.25">
      <c r="A27" s="4"/>
      <c r="B27" s="832"/>
      <c r="C27" s="4"/>
      <c r="D27" s="4" t="s">
        <v>71</v>
      </c>
      <c r="E27" s="30">
        <v>35</v>
      </c>
      <c r="F27" s="37">
        <v>175000</v>
      </c>
      <c r="G27" s="1053"/>
      <c r="H27" s="4">
        <v>20</v>
      </c>
      <c r="I27" s="17">
        <v>150000</v>
      </c>
    </row>
    <row r="28" spans="1:9" s="2" customFormat="1" ht="15" customHeight="1" x14ac:dyDescent="0.25">
      <c r="A28" s="4"/>
      <c r="B28" s="832"/>
      <c r="C28" s="4"/>
      <c r="D28" s="4" t="s">
        <v>72</v>
      </c>
      <c r="E28" s="30"/>
      <c r="F28" s="37"/>
      <c r="G28" s="1054"/>
      <c r="H28" s="4">
        <v>50</v>
      </c>
      <c r="I28" s="17">
        <v>150000</v>
      </c>
    </row>
    <row r="29" spans="1:9" s="2" customFormat="1" ht="15" customHeight="1" x14ac:dyDescent="0.25">
      <c r="A29" s="4"/>
      <c r="B29" s="832"/>
      <c r="C29" s="4"/>
      <c r="D29" s="4" t="s">
        <v>73</v>
      </c>
      <c r="E29" s="30">
        <v>45</v>
      </c>
      <c r="F29" s="37">
        <v>250000</v>
      </c>
      <c r="G29" s="1054"/>
      <c r="H29" s="4">
        <v>50</v>
      </c>
      <c r="I29" s="17">
        <v>300000</v>
      </c>
    </row>
    <row r="30" spans="1:9" s="2" customFormat="1" ht="15" customHeight="1" x14ac:dyDescent="0.25">
      <c r="A30" s="4"/>
      <c r="B30" s="832"/>
      <c r="C30" s="4"/>
      <c r="D30" s="4" t="s">
        <v>74</v>
      </c>
      <c r="E30" s="30"/>
      <c r="F30" s="37"/>
      <c r="G30" s="1054"/>
      <c r="H30" s="4">
        <v>15</v>
      </c>
      <c r="I30" s="17">
        <v>150000</v>
      </c>
    </row>
    <row r="31" spans="1:9" s="2" customFormat="1" ht="15" customHeight="1" x14ac:dyDescent="0.25">
      <c r="A31" s="4"/>
      <c r="B31" s="832"/>
      <c r="C31" s="4"/>
      <c r="D31" s="4" t="s">
        <v>75</v>
      </c>
      <c r="E31" s="30"/>
      <c r="F31" s="37"/>
      <c r="G31" s="1054"/>
      <c r="H31" s="4">
        <v>15</v>
      </c>
      <c r="I31" s="17">
        <v>150000</v>
      </c>
    </row>
    <row r="32" spans="1:9" s="2" customFormat="1" ht="15" customHeight="1" x14ac:dyDescent="0.25">
      <c r="A32" s="4"/>
      <c r="B32" s="833"/>
      <c r="C32" s="4"/>
      <c r="D32" s="4" t="s">
        <v>76</v>
      </c>
      <c r="E32" s="30"/>
      <c r="F32" s="37"/>
      <c r="G32" s="1054"/>
      <c r="H32" s="4">
        <v>50</v>
      </c>
      <c r="I32" s="17">
        <v>190000</v>
      </c>
    </row>
    <row r="33" spans="1:9" s="8" customFormat="1" ht="8.25" customHeight="1" x14ac:dyDescent="0.25">
      <c r="A33" s="7"/>
      <c r="B33" s="7"/>
      <c r="C33" s="7"/>
      <c r="D33" s="7"/>
      <c r="E33" s="7"/>
      <c r="F33" s="7"/>
      <c r="G33" s="7"/>
      <c r="H33" s="7"/>
      <c r="I33" s="7"/>
    </row>
    <row r="34" spans="1:9" s="9" customFormat="1" ht="20.25" customHeight="1" x14ac:dyDescent="0.25">
      <c r="A34" s="6" t="s">
        <v>6</v>
      </c>
      <c r="B34" s="831" t="s">
        <v>54</v>
      </c>
      <c r="C34" s="856" t="s">
        <v>20</v>
      </c>
      <c r="D34" s="6"/>
      <c r="E34" s="64">
        <f>SUM(E35:E40)</f>
        <v>5935</v>
      </c>
      <c r="F34" s="65">
        <f>SUM(F35:F40)</f>
        <v>9316950</v>
      </c>
      <c r="G34" s="63" t="s">
        <v>15</v>
      </c>
      <c r="H34" s="63">
        <f>SUM(H35:H40)</f>
        <v>9339</v>
      </c>
      <c r="I34" s="65">
        <f>SUM(I35:I40)</f>
        <v>14568840</v>
      </c>
    </row>
    <row r="35" spans="1:9" s="22" customFormat="1" ht="14.25" customHeight="1" x14ac:dyDescent="0.25">
      <c r="A35" s="21"/>
      <c r="B35" s="832"/>
      <c r="C35" s="857"/>
      <c r="D35" s="4" t="s">
        <v>71</v>
      </c>
      <c r="E35" s="30">
        <v>789</v>
      </c>
      <c r="F35" s="31">
        <v>1240290</v>
      </c>
      <c r="G35" s="34"/>
      <c r="H35" s="4">
        <v>947</v>
      </c>
      <c r="I35" s="17">
        <v>1477320</v>
      </c>
    </row>
    <row r="36" spans="1:9" s="22" customFormat="1" ht="15.75" customHeight="1" x14ac:dyDescent="0.25">
      <c r="A36" s="21"/>
      <c r="B36" s="832"/>
      <c r="C36" s="857"/>
      <c r="D36" s="4" t="s">
        <v>72</v>
      </c>
      <c r="E36" s="30">
        <v>1500</v>
      </c>
      <c r="F36" s="31">
        <v>2358000</v>
      </c>
      <c r="G36" s="35"/>
      <c r="H36" s="4">
        <v>2350</v>
      </c>
      <c r="I36" s="17">
        <v>3666000</v>
      </c>
    </row>
    <row r="37" spans="1:9" s="22" customFormat="1" x14ac:dyDescent="0.25">
      <c r="A37" s="21"/>
      <c r="B37" s="833"/>
      <c r="C37" s="857"/>
      <c r="D37" s="4" t="s">
        <v>73</v>
      </c>
      <c r="E37" s="30"/>
      <c r="F37" s="31"/>
      <c r="G37" s="35" t="s">
        <v>78</v>
      </c>
      <c r="H37" s="4">
        <v>865</v>
      </c>
      <c r="I37" s="17">
        <v>1349400</v>
      </c>
    </row>
    <row r="38" spans="1:9" s="22" customFormat="1" x14ac:dyDescent="0.25">
      <c r="A38" s="21"/>
      <c r="B38" s="21"/>
      <c r="C38" s="857"/>
      <c r="D38" s="4" t="s">
        <v>74</v>
      </c>
      <c r="E38" s="30">
        <v>1764</v>
      </c>
      <c r="F38" s="31">
        <v>2772990</v>
      </c>
      <c r="G38" s="35"/>
      <c r="H38" s="4">
        <v>2153</v>
      </c>
      <c r="I38" s="17">
        <v>3358680</v>
      </c>
    </row>
    <row r="39" spans="1:9" s="22" customFormat="1" x14ac:dyDescent="0.25">
      <c r="A39" s="21"/>
      <c r="B39" s="21"/>
      <c r="C39" s="857"/>
      <c r="D39" s="4" t="s">
        <v>75</v>
      </c>
      <c r="E39" s="30">
        <v>1112</v>
      </c>
      <c r="F39" s="31">
        <v>1735220</v>
      </c>
      <c r="G39" s="35"/>
      <c r="H39" s="4">
        <v>1600</v>
      </c>
      <c r="I39" s="17">
        <v>2496000</v>
      </c>
    </row>
    <row r="40" spans="1:9" s="22" customFormat="1" x14ac:dyDescent="0.25">
      <c r="A40" s="21"/>
      <c r="B40" s="21"/>
      <c r="C40" s="921"/>
      <c r="D40" s="4" t="s">
        <v>76</v>
      </c>
      <c r="E40" s="30">
        <v>770</v>
      </c>
      <c r="F40" s="31">
        <v>1210450</v>
      </c>
      <c r="G40" s="36"/>
      <c r="H40" s="4">
        <v>1424</v>
      </c>
      <c r="I40" s="17">
        <v>2221440</v>
      </c>
    </row>
    <row r="41" spans="1:9" s="8" customFormat="1" ht="8.25" customHeight="1" x14ac:dyDescent="0.25">
      <c r="A41" s="7"/>
      <c r="B41" s="7"/>
      <c r="C41" s="7"/>
      <c r="D41" s="7"/>
      <c r="E41" s="7"/>
      <c r="F41" s="7"/>
      <c r="G41" s="7"/>
      <c r="H41" s="7"/>
      <c r="I41" s="7"/>
    </row>
    <row r="42" spans="1:9" s="9" customFormat="1" ht="31.5" customHeight="1" x14ac:dyDescent="0.25">
      <c r="A42" s="6" t="s">
        <v>16</v>
      </c>
      <c r="B42" s="856" t="s">
        <v>55</v>
      </c>
      <c r="C42" s="856" t="s">
        <v>19</v>
      </c>
      <c r="D42" s="6"/>
      <c r="E42" s="64">
        <f>SUM(E43:E48)</f>
        <v>434</v>
      </c>
      <c r="F42" s="65">
        <f>SUM(F43:F48)</f>
        <v>1818500</v>
      </c>
      <c r="G42" s="63" t="s">
        <v>15</v>
      </c>
      <c r="H42" s="63">
        <f>SUM(H43:H48)</f>
        <v>1399</v>
      </c>
      <c r="I42" s="65">
        <f>SUM(I43:I48)</f>
        <v>8394000</v>
      </c>
    </row>
    <row r="43" spans="1:9" s="1" customFormat="1" ht="18" customHeight="1" x14ac:dyDescent="0.25">
      <c r="A43" s="5"/>
      <c r="B43" s="857"/>
      <c r="C43" s="857"/>
      <c r="D43" s="4" t="s">
        <v>71</v>
      </c>
      <c r="E43" s="30">
        <v>70</v>
      </c>
      <c r="F43" s="37">
        <v>298000</v>
      </c>
      <c r="G43" s="25"/>
      <c r="H43" s="20">
        <v>230</v>
      </c>
      <c r="I43" s="17">
        <v>1380000</v>
      </c>
    </row>
    <row r="44" spans="1:9" s="1" customFormat="1" x14ac:dyDescent="0.25">
      <c r="A44" s="5"/>
      <c r="B44" s="921"/>
      <c r="C44" s="857"/>
      <c r="D44" s="4" t="s">
        <v>72</v>
      </c>
      <c r="E44" s="30">
        <v>60</v>
      </c>
      <c r="F44" s="37">
        <v>238500</v>
      </c>
      <c r="G44" s="26"/>
      <c r="H44" s="20">
        <v>225</v>
      </c>
      <c r="I44" s="17">
        <v>1350000</v>
      </c>
    </row>
    <row r="45" spans="1:9" s="1" customFormat="1" x14ac:dyDescent="0.25">
      <c r="A45" s="5"/>
      <c r="B45" s="5"/>
      <c r="C45" s="857"/>
      <c r="D45" s="4" t="s">
        <v>73</v>
      </c>
      <c r="E45" s="30">
        <v>70</v>
      </c>
      <c r="F45" s="37">
        <v>277500</v>
      </c>
      <c r="G45" s="26"/>
      <c r="H45" s="20">
        <v>225</v>
      </c>
      <c r="I45" s="17">
        <v>1350000</v>
      </c>
    </row>
    <row r="46" spans="1:9" s="1" customFormat="1" x14ac:dyDescent="0.25">
      <c r="A46" s="5"/>
      <c r="B46" s="5"/>
      <c r="C46" s="857"/>
      <c r="D46" s="4" t="s">
        <v>74</v>
      </c>
      <c r="E46" s="30">
        <v>106</v>
      </c>
      <c r="F46" s="37">
        <v>477000</v>
      </c>
      <c r="G46" s="26"/>
      <c r="H46" s="20">
        <v>266</v>
      </c>
      <c r="I46" s="17">
        <v>1596000</v>
      </c>
    </row>
    <row r="47" spans="1:9" s="1" customFormat="1" x14ac:dyDescent="0.25">
      <c r="A47" s="5"/>
      <c r="B47" s="5"/>
      <c r="C47" s="857"/>
      <c r="D47" s="4" t="s">
        <v>75</v>
      </c>
      <c r="E47" s="30">
        <v>68</v>
      </c>
      <c r="F47" s="37">
        <v>260500</v>
      </c>
      <c r="G47" s="26"/>
      <c r="H47" s="20">
        <v>223</v>
      </c>
      <c r="I47" s="17">
        <v>1338000</v>
      </c>
    </row>
    <row r="48" spans="1:9" s="1" customFormat="1" x14ac:dyDescent="0.25">
      <c r="A48" s="5"/>
      <c r="B48" s="5"/>
      <c r="C48" s="857"/>
      <c r="D48" s="4" t="s">
        <v>76</v>
      </c>
      <c r="E48" s="30">
        <v>60</v>
      </c>
      <c r="F48" s="37">
        <v>267000</v>
      </c>
      <c r="G48" s="26"/>
      <c r="H48" s="20">
        <v>230</v>
      </c>
      <c r="I48" s="17">
        <v>1380000</v>
      </c>
    </row>
    <row r="49" spans="1:9" s="8" customFormat="1" ht="8.25" customHeight="1" x14ac:dyDescent="0.25">
      <c r="A49" s="7"/>
      <c r="B49" s="7"/>
      <c r="C49" s="7"/>
      <c r="D49" s="7"/>
      <c r="E49" s="7"/>
      <c r="F49" s="7"/>
      <c r="G49" s="7"/>
      <c r="H49" s="7"/>
      <c r="I49" s="7"/>
    </row>
    <row r="50" spans="1:9" s="9" customFormat="1" ht="30" customHeight="1" x14ac:dyDescent="0.25">
      <c r="A50" s="6" t="s">
        <v>17</v>
      </c>
      <c r="B50" s="923" t="s">
        <v>56</v>
      </c>
      <c r="C50" s="6" t="s">
        <v>18</v>
      </c>
      <c r="D50" s="6"/>
      <c r="E50" s="64">
        <f>SUM(E51:E56)</f>
        <v>5</v>
      </c>
      <c r="F50" s="65">
        <f>SUM(F51:F56)</f>
        <v>9200</v>
      </c>
      <c r="G50" s="63" t="s">
        <v>25</v>
      </c>
      <c r="H50" s="63"/>
      <c r="I50" s="63"/>
    </row>
    <row r="51" spans="1:9" s="1" customFormat="1" x14ac:dyDescent="0.25">
      <c r="A51" s="5"/>
      <c r="B51" s="924"/>
      <c r="C51" s="5"/>
      <c r="D51" s="4" t="s">
        <v>71</v>
      </c>
      <c r="E51" s="44">
        <f>1</f>
        <v>1</v>
      </c>
      <c r="F51" s="41">
        <f>5000</f>
        <v>5000</v>
      </c>
      <c r="G51" s="23"/>
      <c r="H51" s="5"/>
      <c r="I51" s="4"/>
    </row>
    <row r="52" spans="1:9" s="1" customFormat="1" x14ac:dyDescent="0.25">
      <c r="A52" s="5"/>
      <c r="B52" s="924"/>
      <c r="C52" s="5"/>
      <c r="D52" s="4" t="s">
        <v>72</v>
      </c>
      <c r="E52" s="44"/>
      <c r="F52" s="38"/>
      <c r="G52" s="24"/>
      <c r="H52" s="5"/>
      <c r="I52" s="4"/>
    </row>
    <row r="53" spans="1:9" s="1" customFormat="1" x14ac:dyDescent="0.25">
      <c r="A53" s="5"/>
      <c r="B53" s="924"/>
      <c r="C53" s="5"/>
      <c r="D53" s="4" t="s">
        <v>73</v>
      </c>
      <c r="E53" s="44">
        <f>1+2</f>
        <v>3</v>
      </c>
      <c r="F53" s="39">
        <f>1500+1200</f>
        <v>2700</v>
      </c>
      <c r="G53" s="24"/>
      <c r="H53" s="5"/>
      <c r="I53" s="4"/>
    </row>
    <row r="54" spans="1:9" s="1" customFormat="1" x14ac:dyDescent="0.25">
      <c r="A54" s="5"/>
      <c r="B54" s="924"/>
      <c r="C54" s="5"/>
      <c r="D54" s="4" t="s">
        <v>74</v>
      </c>
      <c r="E54" s="44"/>
      <c r="F54" s="39"/>
      <c r="G54" s="24"/>
      <c r="H54" s="5"/>
      <c r="I54" s="4"/>
    </row>
    <row r="55" spans="1:9" s="1" customFormat="1" x14ac:dyDescent="0.25">
      <c r="A55" s="5"/>
      <c r="B55" s="973"/>
      <c r="C55" s="5"/>
      <c r="D55" s="4" t="s">
        <v>75</v>
      </c>
      <c r="E55" s="44"/>
      <c r="F55" s="39"/>
      <c r="G55" s="24"/>
      <c r="H55" s="5"/>
      <c r="I55" s="4"/>
    </row>
    <row r="56" spans="1:9" s="1" customFormat="1" x14ac:dyDescent="0.25">
      <c r="A56" s="5"/>
      <c r="B56" s="5"/>
      <c r="C56" s="5"/>
      <c r="D56" s="4" t="s">
        <v>76</v>
      </c>
      <c r="E56" s="44">
        <f>1</f>
        <v>1</v>
      </c>
      <c r="F56" s="40">
        <f>1500</f>
        <v>1500</v>
      </c>
      <c r="G56" s="24"/>
      <c r="H56" s="5"/>
      <c r="I56" s="4"/>
    </row>
    <row r="57" spans="1:9" s="8" customFormat="1" ht="8.25" customHeight="1" x14ac:dyDescent="0.25">
      <c r="A57" s="7"/>
      <c r="B57" s="7"/>
      <c r="C57" s="7"/>
      <c r="D57" s="7"/>
      <c r="E57" s="7"/>
      <c r="F57" s="7"/>
      <c r="G57" s="7"/>
      <c r="H57" s="7"/>
      <c r="I57" s="7"/>
    </row>
    <row r="58" spans="1:9" s="9" customFormat="1" ht="34.5" hidden="1" customHeight="1" x14ac:dyDescent="0.25">
      <c r="A58" s="6" t="s">
        <v>22</v>
      </c>
      <c r="B58" s="831" t="s">
        <v>57</v>
      </c>
      <c r="C58" s="6" t="s">
        <v>37</v>
      </c>
      <c r="D58" s="6"/>
      <c r="E58" s="42">
        <f>SUM(E59:E64)</f>
        <v>227</v>
      </c>
      <c r="F58" s="43">
        <f>SUM(F59:F64)</f>
        <v>562960</v>
      </c>
      <c r="G58" s="6" t="s">
        <v>38</v>
      </c>
      <c r="H58" s="6"/>
      <c r="I58" s="6"/>
    </row>
    <row r="59" spans="1:9" s="1" customFormat="1" ht="15" hidden="1" customHeight="1" x14ac:dyDescent="0.25">
      <c r="A59" s="972" t="s">
        <v>35</v>
      </c>
      <c r="B59" s="832"/>
      <c r="C59" s="5"/>
      <c r="D59" s="4" t="s">
        <v>42</v>
      </c>
      <c r="E59" s="44"/>
      <c r="F59" s="41"/>
      <c r="G59" s="1056" t="s">
        <v>36</v>
      </c>
      <c r="H59" s="5"/>
      <c r="I59" s="4" t="s">
        <v>8</v>
      </c>
    </row>
    <row r="60" spans="1:9" s="1" customFormat="1" hidden="1" x14ac:dyDescent="0.25">
      <c r="A60" s="918"/>
      <c r="B60" s="833"/>
      <c r="C60" s="5"/>
      <c r="D60" s="4" t="s">
        <v>43</v>
      </c>
      <c r="E60" s="44"/>
      <c r="F60" s="38"/>
      <c r="G60" s="1057"/>
      <c r="H60" s="5"/>
      <c r="I60" s="4" t="s">
        <v>9</v>
      </c>
    </row>
    <row r="61" spans="1:9" s="1" customFormat="1" hidden="1" x14ac:dyDescent="0.25">
      <c r="A61" s="918"/>
      <c r="B61" s="28"/>
      <c r="C61" s="5"/>
      <c r="D61" s="4" t="s">
        <v>44</v>
      </c>
      <c r="E61" s="45">
        <v>227</v>
      </c>
      <c r="F61" s="39">
        <v>562960</v>
      </c>
      <c r="G61" s="1057"/>
      <c r="H61" s="5"/>
      <c r="I61" s="4" t="s">
        <v>10</v>
      </c>
    </row>
    <row r="62" spans="1:9" s="1" customFormat="1" hidden="1" x14ac:dyDescent="0.25">
      <c r="A62" s="918"/>
      <c r="B62" s="28"/>
      <c r="C62" s="5"/>
      <c r="D62" s="4" t="s">
        <v>45</v>
      </c>
      <c r="E62" s="44"/>
      <c r="F62" s="39"/>
      <c r="G62" s="1057"/>
      <c r="H62" s="5"/>
      <c r="I62" s="4" t="s">
        <v>11</v>
      </c>
    </row>
    <row r="63" spans="1:9" s="1" customFormat="1" hidden="1" x14ac:dyDescent="0.25">
      <c r="A63" s="918"/>
      <c r="B63" s="28"/>
      <c r="C63" s="5"/>
      <c r="D63" s="4" t="s">
        <v>46</v>
      </c>
      <c r="E63" s="44"/>
      <c r="F63" s="39"/>
      <c r="G63" s="1057"/>
      <c r="H63" s="5"/>
      <c r="I63" s="4" t="s">
        <v>12</v>
      </c>
    </row>
    <row r="64" spans="1:9" s="1" customFormat="1" hidden="1" x14ac:dyDescent="0.25">
      <c r="A64" s="918"/>
      <c r="B64" s="28"/>
      <c r="C64" s="5"/>
      <c r="D64" s="4" t="s">
        <v>47</v>
      </c>
      <c r="E64" s="44"/>
      <c r="F64" s="40"/>
      <c r="G64" s="1057"/>
      <c r="H64" s="5"/>
      <c r="I64" s="4" t="s">
        <v>13</v>
      </c>
    </row>
    <row r="65" spans="1:10" s="8" customFormat="1" ht="8.25" hidden="1" customHeight="1" x14ac:dyDescent="0.25">
      <c r="A65" s="7"/>
      <c r="B65" s="7"/>
      <c r="C65" s="7"/>
      <c r="D65" s="7"/>
      <c r="E65" s="7"/>
      <c r="F65" s="7"/>
      <c r="G65" s="7"/>
      <c r="H65" s="7"/>
      <c r="I65" s="7"/>
    </row>
    <row r="66" spans="1:10" s="9" customFormat="1" ht="30" customHeight="1" x14ac:dyDescent="0.25">
      <c r="A66" s="6" t="s">
        <v>23</v>
      </c>
      <c r="B66" s="831" t="s">
        <v>58</v>
      </c>
      <c r="C66" s="6" t="s">
        <v>24</v>
      </c>
      <c r="D66" s="63"/>
      <c r="E66" s="64">
        <f>SUM(E68:E72)</f>
        <v>3275</v>
      </c>
      <c r="F66" s="65">
        <f>SUM(F68:F72)</f>
        <v>840845.58000000007</v>
      </c>
      <c r="G66" s="63" t="s">
        <v>38</v>
      </c>
      <c r="H66" s="63"/>
      <c r="I66" s="63"/>
      <c r="J66" s="66"/>
    </row>
    <row r="67" spans="1:10" s="16" customFormat="1" x14ac:dyDescent="0.25">
      <c r="A67" s="15"/>
      <c r="B67" s="832"/>
      <c r="C67" s="15"/>
      <c r="D67" s="4" t="s">
        <v>71</v>
      </c>
      <c r="E67" s="44"/>
      <c r="F67" s="41"/>
      <c r="G67" s="869"/>
      <c r="H67" s="15"/>
      <c r="I67" s="15"/>
    </row>
    <row r="68" spans="1:10" s="1" customFormat="1" x14ac:dyDescent="0.25">
      <c r="A68" s="5"/>
      <c r="B68" s="832"/>
      <c r="C68" s="5"/>
      <c r="D68" s="4" t="s">
        <v>72</v>
      </c>
      <c r="E68" s="44">
        <v>1700</v>
      </c>
      <c r="F68" s="38">
        <f>302348.88+125000</f>
        <v>427348.88</v>
      </c>
      <c r="G68" s="870"/>
      <c r="H68" s="5"/>
      <c r="I68" s="4"/>
    </row>
    <row r="69" spans="1:10" s="1" customFormat="1" x14ac:dyDescent="0.25">
      <c r="A69" s="5"/>
      <c r="B69" s="832"/>
      <c r="C69" s="5"/>
      <c r="D69" s="4" t="s">
        <v>73</v>
      </c>
      <c r="E69" s="44"/>
      <c r="F69" s="39"/>
      <c r="G69" s="870"/>
      <c r="H69" s="5"/>
      <c r="I69" s="4"/>
    </row>
    <row r="70" spans="1:10" s="1" customFormat="1" x14ac:dyDescent="0.25">
      <c r="A70" s="5"/>
      <c r="B70" s="832"/>
      <c r="C70" s="5"/>
      <c r="D70" s="4" t="s">
        <v>74</v>
      </c>
      <c r="E70" s="44"/>
      <c r="F70" s="39"/>
      <c r="G70" s="870"/>
      <c r="H70" s="5"/>
      <c r="I70" s="4"/>
    </row>
    <row r="71" spans="1:10" s="1" customFormat="1" x14ac:dyDescent="0.25">
      <c r="A71" s="5"/>
      <c r="B71" s="832"/>
      <c r="C71" s="5"/>
      <c r="D71" s="4" t="s">
        <v>75</v>
      </c>
      <c r="E71" s="44">
        <v>1500</v>
      </c>
      <c r="F71" s="39">
        <v>393797.78</v>
      </c>
      <c r="G71" s="870"/>
      <c r="H71" s="5"/>
      <c r="I71" s="4"/>
    </row>
    <row r="72" spans="1:10" s="1" customFormat="1" x14ac:dyDescent="0.25">
      <c r="A72" s="5"/>
      <c r="B72" s="832"/>
      <c r="C72" s="5"/>
      <c r="D72" s="4" t="s">
        <v>76</v>
      </c>
      <c r="E72" s="44">
        <v>75</v>
      </c>
      <c r="F72" s="40">
        <v>19698.919999999998</v>
      </c>
      <c r="G72" s="870"/>
      <c r="H72" s="5"/>
      <c r="I72" s="4"/>
    </row>
    <row r="73" spans="1:10" s="8" customFormat="1" ht="8.25" customHeight="1" x14ac:dyDescent="0.25">
      <c r="A73" s="7"/>
      <c r="B73" s="7"/>
      <c r="C73" s="7"/>
      <c r="D73" s="7"/>
      <c r="E73" s="7"/>
      <c r="F73" s="7"/>
      <c r="G73" s="7"/>
      <c r="H73" s="7"/>
      <c r="I73" s="7"/>
    </row>
    <row r="74" spans="1:10" s="9" customFormat="1" ht="30" customHeight="1" x14ac:dyDescent="0.25">
      <c r="A74" s="54" t="s">
        <v>63</v>
      </c>
      <c r="B74" s="831" t="s">
        <v>64</v>
      </c>
      <c r="C74" s="6" t="s">
        <v>65</v>
      </c>
      <c r="D74" s="63"/>
      <c r="E74" s="64">
        <f>SUM(E76:E80)</f>
        <v>0</v>
      </c>
      <c r="F74" s="65">
        <f>SUM(F76:F80)</f>
        <v>0</v>
      </c>
      <c r="G74" s="63"/>
      <c r="H74" s="63">
        <f>SUM(H75:H80)</f>
        <v>0</v>
      </c>
      <c r="I74" s="65">
        <f>SUM(I75:I80)</f>
        <v>0</v>
      </c>
    </row>
    <row r="75" spans="1:10" s="16" customFormat="1" ht="15" customHeight="1" x14ac:dyDescent="0.25">
      <c r="A75" s="869" t="s">
        <v>66</v>
      </c>
      <c r="B75" s="879"/>
      <c r="C75" s="15"/>
      <c r="D75" s="4" t="s">
        <v>71</v>
      </c>
      <c r="E75" s="44"/>
      <c r="F75" s="41"/>
      <c r="G75" s="869"/>
      <c r="H75" s="15"/>
      <c r="I75" s="53"/>
    </row>
    <row r="76" spans="1:10" s="1" customFormat="1" x14ac:dyDescent="0.25">
      <c r="A76" s="870"/>
      <c r="B76" s="879"/>
      <c r="C76" s="5"/>
      <c r="D76" s="4" t="s">
        <v>72</v>
      </c>
      <c r="E76" s="44"/>
      <c r="F76" s="38"/>
      <c r="G76" s="870"/>
      <c r="H76" s="20"/>
      <c r="I76" s="17"/>
    </row>
    <row r="77" spans="1:10" s="1" customFormat="1" x14ac:dyDescent="0.25">
      <c r="A77" s="55"/>
      <c r="B77" s="879"/>
      <c r="C77" s="5"/>
      <c r="D77" s="4" t="s">
        <v>73</v>
      </c>
      <c r="E77" s="44"/>
      <c r="F77" s="39"/>
      <c r="G77" s="870"/>
      <c r="H77" s="20"/>
      <c r="I77" s="17"/>
    </row>
    <row r="78" spans="1:10" s="1" customFormat="1" x14ac:dyDescent="0.25">
      <c r="A78" s="55"/>
      <c r="B78" s="879"/>
      <c r="C78" s="5"/>
      <c r="D78" s="4" t="s">
        <v>74</v>
      </c>
      <c r="E78" s="44"/>
      <c r="F78" s="39"/>
      <c r="G78" s="870"/>
      <c r="H78" s="20"/>
      <c r="I78" s="17"/>
    </row>
    <row r="79" spans="1:10" s="1" customFormat="1" x14ac:dyDescent="0.25">
      <c r="A79" s="55"/>
      <c r="B79" s="879"/>
      <c r="C79" s="5"/>
      <c r="D79" s="4" t="s">
        <v>75</v>
      </c>
      <c r="E79" s="44"/>
      <c r="F79" s="39"/>
      <c r="G79" s="870"/>
      <c r="H79" s="20"/>
      <c r="I79" s="17"/>
    </row>
    <row r="80" spans="1:10" s="1" customFormat="1" x14ac:dyDescent="0.25">
      <c r="A80" s="56"/>
      <c r="B80" s="966"/>
      <c r="C80" s="5"/>
      <c r="D80" s="4" t="s">
        <v>76</v>
      </c>
      <c r="E80" s="44"/>
      <c r="F80" s="62"/>
      <c r="G80" s="873"/>
      <c r="H80" s="20"/>
      <c r="I80" s="17"/>
    </row>
    <row r="81" spans="1:9" s="49" customFormat="1" x14ac:dyDescent="0.25">
      <c r="B81" s="50"/>
      <c r="D81" s="51"/>
      <c r="E81" s="61"/>
      <c r="F81" s="59"/>
      <c r="G81" s="52"/>
      <c r="H81" s="57"/>
      <c r="I81" s="58"/>
    </row>
    <row r="82" spans="1:9" s="49" customFormat="1" x14ac:dyDescent="0.25">
      <c r="B82" s="50"/>
      <c r="D82" s="51"/>
      <c r="E82" s="61"/>
      <c r="F82" s="59"/>
      <c r="G82" s="52"/>
      <c r="H82" s="57"/>
      <c r="I82" s="58"/>
    </row>
    <row r="83" spans="1:9" s="49" customFormat="1" ht="14.45" x14ac:dyDescent="0.3">
      <c r="B83" s="50"/>
      <c r="D83" s="51"/>
      <c r="E83" s="61"/>
      <c r="F83" s="59"/>
      <c r="G83" s="52"/>
      <c r="H83" s="57"/>
      <c r="I83" s="58"/>
    </row>
    <row r="84" spans="1:9" s="49" customFormat="1" ht="14.45" x14ac:dyDescent="0.3">
      <c r="B84" s="50"/>
      <c r="D84" s="51"/>
      <c r="E84" s="61"/>
      <c r="F84" s="59"/>
      <c r="G84" s="52"/>
      <c r="H84" s="57"/>
      <c r="I84" s="58"/>
    </row>
    <row r="85" spans="1:9" s="8" customFormat="1" ht="8.25" customHeight="1" x14ac:dyDescent="0.25">
      <c r="A85" s="60"/>
      <c r="B85" s="60"/>
      <c r="C85" s="60"/>
      <c r="D85" s="60"/>
      <c r="E85" s="60"/>
      <c r="F85" s="60"/>
      <c r="G85" s="60"/>
      <c r="H85" s="60"/>
      <c r="I85" s="60"/>
    </row>
    <row r="86" spans="1:9" s="9" customFormat="1" ht="30" customHeight="1" x14ac:dyDescent="0.25">
      <c r="A86" s="54" t="s">
        <v>67</v>
      </c>
      <c r="B86" s="831" t="s">
        <v>68</v>
      </c>
      <c r="C86" s="6" t="s">
        <v>65</v>
      </c>
      <c r="D86" s="63"/>
      <c r="E86" s="64">
        <f>SUM(E88:E92)</f>
        <v>0</v>
      </c>
      <c r="F86" s="65">
        <f>SUM(F88:F92)</f>
        <v>0</v>
      </c>
      <c r="G86" s="63"/>
      <c r="H86" s="63">
        <f>SUM(H87:H92)</f>
        <v>0</v>
      </c>
      <c r="I86" s="65">
        <f>SUM(I87:I92)</f>
        <v>0</v>
      </c>
    </row>
    <row r="87" spans="1:9" s="16" customFormat="1" ht="15" customHeight="1" x14ac:dyDescent="0.25">
      <c r="A87" s="869" t="s">
        <v>66</v>
      </c>
      <c r="B87" s="879"/>
      <c r="C87" s="15"/>
      <c r="D87" s="4" t="s">
        <v>71</v>
      </c>
      <c r="E87" s="44"/>
      <c r="F87" s="41"/>
      <c r="G87" s="869"/>
      <c r="H87" s="15"/>
      <c r="I87" s="53"/>
    </row>
    <row r="88" spans="1:9" s="1" customFormat="1" x14ac:dyDescent="0.25">
      <c r="A88" s="870"/>
      <c r="B88" s="879"/>
      <c r="C88" s="5"/>
      <c r="D88" s="4" t="s">
        <v>72</v>
      </c>
      <c r="E88" s="44"/>
      <c r="F88" s="38"/>
      <c r="G88" s="870"/>
      <c r="H88" s="20"/>
      <c r="I88" s="17"/>
    </row>
    <row r="89" spans="1:9" s="1" customFormat="1" x14ac:dyDescent="0.25">
      <c r="A89" s="55"/>
      <c r="B89" s="879"/>
      <c r="C89" s="5"/>
      <c r="D89" s="4" t="s">
        <v>73</v>
      </c>
      <c r="E89" s="44"/>
      <c r="F89" s="39"/>
      <c r="G89" s="870"/>
      <c r="H89" s="20"/>
      <c r="I89" s="17"/>
    </row>
    <row r="90" spans="1:9" s="1" customFormat="1" x14ac:dyDescent="0.25">
      <c r="A90" s="55"/>
      <c r="B90" s="879"/>
      <c r="C90" s="5"/>
      <c r="D90" s="4" t="s">
        <v>74</v>
      </c>
      <c r="E90" s="44"/>
      <c r="F90" s="39"/>
      <c r="G90" s="870"/>
      <c r="H90" s="20"/>
      <c r="I90" s="17"/>
    </row>
    <row r="91" spans="1:9" s="1" customFormat="1" x14ac:dyDescent="0.25">
      <c r="A91" s="55"/>
      <c r="B91" s="879"/>
      <c r="C91" s="5"/>
      <c r="D91" s="4" t="s">
        <v>75</v>
      </c>
      <c r="E91" s="44"/>
      <c r="F91" s="39"/>
      <c r="G91" s="870"/>
      <c r="H91" s="20"/>
      <c r="I91" s="17"/>
    </row>
    <row r="92" spans="1:9" s="1" customFormat="1" x14ac:dyDescent="0.25">
      <c r="A92" s="56"/>
      <c r="B92" s="966"/>
      <c r="C92" s="5"/>
      <c r="D92" s="4" t="s">
        <v>76</v>
      </c>
      <c r="E92" s="44"/>
      <c r="F92" s="62"/>
      <c r="G92" s="873"/>
      <c r="H92" s="20"/>
      <c r="I92" s="17"/>
    </row>
    <row r="93" spans="1:9" x14ac:dyDescent="0.25">
      <c r="A93" t="s">
        <v>26</v>
      </c>
      <c r="B93" t="s">
        <v>28</v>
      </c>
      <c r="D93" t="s">
        <v>31</v>
      </c>
    </row>
    <row r="97" spans="1:4" x14ac:dyDescent="0.25">
      <c r="A97" t="s">
        <v>27</v>
      </c>
      <c r="B97" t="s">
        <v>29</v>
      </c>
      <c r="D97" t="s">
        <v>32</v>
      </c>
    </row>
    <row r="98" spans="1:4" x14ac:dyDescent="0.25">
      <c r="A98" t="s">
        <v>33</v>
      </c>
      <c r="B98" t="s">
        <v>30</v>
      </c>
      <c r="D98" t="s">
        <v>33</v>
      </c>
    </row>
  </sheetData>
  <mergeCells count="35">
    <mergeCell ref="B74:B80"/>
    <mergeCell ref="A75:A76"/>
    <mergeCell ref="G75:G80"/>
    <mergeCell ref="B86:B92"/>
    <mergeCell ref="A87:A88"/>
    <mergeCell ref="G87:G92"/>
    <mergeCell ref="B50:B55"/>
    <mergeCell ref="B58:B60"/>
    <mergeCell ref="A59:A64"/>
    <mergeCell ref="G59:G64"/>
    <mergeCell ref="B66:B72"/>
    <mergeCell ref="G67:G72"/>
    <mergeCell ref="A14:A18"/>
    <mergeCell ref="B26:B32"/>
    <mergeCell ref="G27:G32"/>
    <mergeCell ref="C34:C40"/>
    <mergeCell ref="B42:B44"/>
    <mergeCell ref="C42:C48"/>
    <mergeCell ref="B34:B37"/>
    <mergeCell ref="B19:B25"/>
    <mergeCell ref="G20:G25"/>
    <mergeCell ref="B12:B18"/>
    <mergeCell ref="G13:G18"/>
    <mergeCell ref="A1:I1"/>
    <mergeCell ref="A2:I2"/>
    <mergeCell ref="A4:I4"/>
    <mergeCell ref="A5:I5"/>
    <mergeCell ref="A8:A9"/>
    <mergeCell ref="B8:B9"/>
    <mergeCell ref="C8:C9"/>
    <mergeCell ref="D8:D9"/>
    <mergeCell ref="E8:E9"/>
    <mergeCell ref="F8:F9"/>
    <mergeCell ref="G8:G9"/>
    <mergeCell ref="H8:I8"/>
  </mergeCells>
  <pageMargins left="0.52" right="0.56999999999999995" top="0.68" bottom="0.69" header="0.3" footer="0.4"/>
  <pageSetup paperSize="9" scale="80" orientation="landscape" verticalDpi="300" r:id="rId1"/>
  <headerFooter>
    <oddFooter>&amp;L1st District of Bataan
&amp;CPage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workbookViewId="0">
      <selection activeCell="A6" sqref="A6:F12"/>
    </sheetView>
  </sheetViews>
  <sheetFormatPr defaultRowHeight="15" x14ac:dyDescent="0.25"/>
  <cols>
    <col min="1" max="1" width="30.85546875" customWidth="1"/>
    <col min="2" max="2" width="42" customWidth="1"/>
    <col min="3" max="4" width="16.140625" customWidth="1"/>
    <col min="5" max="5" width="13" customWidth="1"/>
    <col min="6" max="6" width="18.14062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04"/>
      <c r="B3" s="204"/>
      <c r="C3" s="204"/>
      <c r="D3" s="204"/>
      <c r="E3" s="204"/>
      <c r="F3" s="90"/>
      <c r="G3" s="204"/>
      <c r="H3" s="204"/>
    </row>
    <row r="4" spans="1:8" s="47" customFormat="1" ht="15.75" x14ac:dyDescent="0.25">
      <c r="A4" s="844" t="s">
        <v>225</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60"/>
      <c r="B8" s="925"/>
      <c r="C8" s="860"/>
      <c r="D8" s="922"/>
      <c r="E8" s="922"/>
      <c r="F8" s="1059"/>
      <c r="G8" s="205" t="s">
        <v>48</v>
      </c>
      <c r="H8" s="205" t="s">
        <v>60</v>
      </c>
    </row>
    <row r="9" spans="1:8" s="12" customFormat="1" ht="20.25" customHeight="1" x14ac:dyDescent="0.25">
      <c r="A9" s="10" t="s">
        <v>14</v>
      </c>
      <c r="B9" s="10"/>
      <c r="C9" s="11"/>
      <c r="D9" s="11"/>
      <c r="E9" s="14"/>
      <c r="F9" s="131">
        <f>F11+F19+F27+F55+F63+F71+F87+F106+F114+F130</f>
        <v>66939028</v>
      </c>
      <c r="G9" s="11"/>
      <c r="H9" s="131">
        <f>H11+H19+H27+H55+H63+H71+H87+H106+H114+H130</f>
        <v>153187680</v>
      </c>
    </row>
    <row r="10" spans="1:8" s="8" customFormat="1" ht="4.5" customHeight="1" x14ac:dyDescent="0.25">
      <c r="A10" s="7"/>
      <c r="B10" s="7"/>
      <c r="C10" s="7"/>
      <c r="D10" s="7"/>
      <c r="E10" s="7"/>
      <c r="F10" s="93"/>
      <c r="G10" s="7"/>
      <c r="H10" s="7"/>
    </row>
    <row r="11" spans="1:8" s="3" customFormat="1" ht="27.75" customHeight="1" x14ac:dyDescent="0.25">
      <c r="A11" s="6" t="s">
        <v>5</v>
      </c>
      <c r="B11" s="831" t="s">
        <v>50</v>
      </c>
      <c r="C11" s="63" t="s">
        <v>21</v>
      </c>
      <c r="D11" s="70" t="s">
        <v>79</v>
      </c>
      <c r="E11" s="70">
        <f>SUM(E12:E17)</f>
        <v>7980</v>
      </c>
      <c r="F11" s="84">
        <f>SUM(F12:F17)</f>
        <v>51202200</v>
      </c>
      <c r="G11" s="70">
        <f>SUM(G12:G17)</f>
        <v>8736</v>
      </c>
      <c r="H11" s="71">
        <f>SUM(H12:H17)</f>
        <v>131040000</v>
      </c>
    </row>
    <row r="12" spans="1:8" s="3" customFormat="1" ht="27.75" customHeight="1" x14ac:dyDescent="0.25">
      <c r="A12" s="6"/>
      <c r="B12" s="832"/>
      <c r="C12" s="63"/>
      <c r="D12" s="4" t="s">
        <v>42</v>
      </c>
      <c r="E12" s="30">
        <v>669</v>
      </c>
      <c r="F12" s="37">
        <v>4268100</v>
      </c>
      <c r="G12" s="4">
        <v>689</v>
      </c>
      <c r="H12" s="17">
        <v>10335000</v>
      </c>
    </row>
    <row r="13" spans="1:8" s="2" customFormat="1" ht="14.25" customHeight="1" x14ac:dyDescent="0.25">
      <c r="A13" s="18"/>
      <c r="B13" s="832"/>
      <c r="C13" s="4"/>
      <c r="D13" s="4" t="s">
        <v>43</v>
      </c>
      <c r="E13" s="30">
        <v>2733</v>
      </c>
      <c r="F13" s="37">
        <v>18023400</v>
      </c>
      <c r="G13" s="4">
        <v>2806</v>
      </c>
      <c r="H13" s="17">
        <v>42090000</v>
      </c>
    </row>
    <row r="14" spans="1:8" s="2" customFormat="1" ht="14.25" customHeight="1" x14ac:dyDescent="0.25">
      <c r="A14" s="972"/>
      <c r="B14" s="832"/>
      <c r="C14" s="4"/>
      <c r="D14" s="4" t="s">
        <v>44</v>
      </c>
      <c r="E14" s="30">
        <v>1320</v>
      </c>
      <c r="F14" s="37">
        <v>9249600</v>
      </c>
      <c r="G14" s="4">
        <v>1760</v>
      </c>
      <c r="H14" s="17">
        <v>26400000</v>
      </c>
    </row>
    <row r="15" spans="1:8" s="2" customFormat="1" ht="14.25" customHeight="1" x14ac:dyDescent="0.25">
      <c r="A15" s="918"/>
      <c r="B15" s="832"/>
      <c r="C15" s="4"/>
      <c r="D15" s="4" t="s">
        <v>45</v>
      </c>
      <c r="E15" s="30">
        <v>1100</v>
      </c>
      <c r="F15" s="37">
        <v>6434000</v>
      </c>
      <c r="G15" s="4">
        <v>1134</v>
      </c>
      <c r="H15" s="17">
        <v>17010000</v>
      </c>
    </row>
    <row r="16" spans="1:8" s="2" customFormat="1" ht="14.25" customHeight="1" x14ac:dyDescent="0.25">
      <c r="A16" s="918"/>
      <c r="B16" s="832"/>
      <c r="C16" s="4"/>
      <c r="D16" s="4" t="s">
        <v>46</v>
      </c>
      <c r="E16" s="30">
        <v>1428</v>
      </c>
      <c r="F16" s="37">
        <v>8502300</v>
      </c>
      <c r="G16" s="4">
        <v>1576</v>
      </c>
      <c r="H16" s="17">
        <v>23640000</v>
      </c>
    </row>
    <row r="17" spans="1:8" s="2" customFormat="1" ht="14.25" customHeight="1" x14ac:dyDescent="0.25">
      <c r="A17" s="918"/>
      <c r="B17" s="832"/>
      <c r="C17" s="4"/>
      <c r="D17" s="4" t="s">
        <v>47</v>
      </c>
      <c r="E17" s="30">
        <v>730</v>
      </c>
      <c r="F17" s="37">
        <v>4724800</v>
      </c>
      <c r="G17" s="4">
        <v>771</v>
      </c>
      <c r="H17" s="17">
        <v>11565000</v>
      </c>
    </row>
    <row r="18" spans="1:8" s="8" customFormat="1" ht="4.5" customHeight="1" x14ac:dyDescent="0.25">
      <c r="A18" s="7"/>
      <c r="B18" s="7"/>
      <c r="C18" s="7"/>
      <c r="D18" s="7"/>
      <c r="E18" s="7"/>
      <c r="F18" s="93"/>
      <c r="G18" s="7"/>
      <c r="H18" s="7"/>
    </row>
    <row r="19" spans="1:8" s="9" customFormat="1" ht="27" customHeight="1" x14ac:dyDescent="0.25">
      <c r="A19" s="6" t="s">
        <v>61</v>
      </c>
      <c r="B19" s="831" t="s">
        <v>62</v>
      </c>
      <c r="C19" s="63" t="s">
        <v>21</v>
      </c>
      <c r="D19" s="70" t="s">
        <v>79</v>
      </c>
      <c r="E19" s="63">
        <f>SUM(E20:E25)</f>
        <v>50</v>
      </c>
      <c r="F19" s="78">
        <f>SUM(F20:F25)</f>
        <v>293300</v>
      </c>
      <c r="G19" s="63"/>
      <c r="H19" s="63"/>
    </row>
    <row r="20" spans="1:8" s="9" customFormat="1" ht="27" customHeight="1" x14ac:dyDescent="0.25">
      <c r="A20" s="198"/>
      <c r="B20" s="832"/>
      <c r="C20" s="63"/>
      <c r="D20" s="4" t="s">
        <v>42</v>
      </c>
      <c r="E20" s="30"/>
      <c r="F20" s="37"/>
      <c r="G20" s="4"/>
      <c r="H20" s="4"/>
    </row>
    <row r="21" spans="1:8" s="2" customFormat="1" ht="15" customHeight="1" x14ac:dyDescent="0.25">
      <c r="A21" s="208"/>
      <c r="B21" s="832"/>
      <c r="C21" s="4"/>
      <c r="D21" s="4" t="s">
        <v>43</v>
      </c>
      <c r="E21" s="30">
        <v>19</v>
      </c>
      <c r="F21" s="37">
        <v>134600</v>
      </c>
      <c r="G21" s="4"/>
      <c r="H21" s="4"/>
    </row>
    <row r="22" spans="1:8" s="2" customFormat="1" ht="15" customHeight="1" x14ac:dyDescent="0.25">
      <c r="A22" s="209"/>
      <c r="B22" s="832"/>
      <c r="C22" s="4"/>
      <c r="D22" s="4" t="s">
        <v>44</v>
      </c>
      <c r="E22" s="30">
        <v>25</v>
      </c>
      <c r="F22" s="37">
        <v>128700</v>
      </c>
      <c r="G22" s="4"/>
      <c r="H22" s="4"/>
    </row>
    <row r="23" spans="1:8" s="2" customFormat="1" ht="15" customHeight="1" x14ac:dyDescent="0.25">
      <c r="A23" s="209"/>
      <c r="B23" s="832"/>
      <c r="C23" s="4"/>
      <c r="D23" s="4" t="s">
        <v>45</v>
      </c>
      <c r="E23" s="30"/>
      <c r="F23" s="37"/>
      <c r="G23" s="4"/>
      <c r="H23" s="4"/>
    </row>
    <row r="24" spans="1:8" s="2" customFormat="1" ht="15" customHeight="1" x14ac:dyDescent="0.25">
      <c r="A24" s="209"/>
      <c r="B24" s="832"/>
      <c r="C24" s="4"/>
      <c r="D24" s="4" t="s">
        <v>46</v>
      </c>
      <c r="E24" s="30"/>
      <c r="F24" s="37"/>
      <c r="G24" s="4"/>
      <c r="H24" s="4"/>
    </row>
    <row r="25" spans="1:8" s="2" customFormat="1" ht="15" customHeight="1" x14ac:dyDescent="0.25">
      <c r="A25" s="209"/>
      <c r="B25" s="832"/>
      <c r="C25" s="4"/>
      <c r="D25" s="4" t="s">
        <v>47</v>
      </c>
      <c r="E25" s="30">
        <v>6</v>
      </c>
      <c r="F25" s="37">
        <v>30000</v>
      </c>
      <c r="G25" s="4"/>
      <c r="H25" s="4"/>
    </row>
    <row r="26" spans="1:8" s="8" customFormat="1" ht="4.5" customHeight="1" x14ac:dyDescent="0.25">
      <c r="A26" s="7"/>
      <c r="B26" s="7"/>
      <c r="C26" s="7"/>
      <c r="D26" s="7"/>
      <c r="E26" s="7"/>
      <c r="F26" s="93"/>
      <c r="G26" s="7"/>
      <c r="H26" s="7"/>
    </row>
    <row r="27" spans="1:8" s="9" customFormat="1" ht="27" customHeight="1" x14ac:dyDescent="0.25">
      <c r="A27" s="199" t="s">
        <v>7</v>
      </c>
      <c r="B27" s="832" t="s">
        <v>52</v>
      </c>
      <c r="C27" s="207" t="s">
        <v>53</v>
      </c>
      <c r="D27" s="70" t="s">
        <v>79</v>
      </c>
      <c r="E27" s="207">
        <f>SUM(E28:E33)</f>
        <v>170</v>
      </c>
      <c r="F27" s="69">
        <f>SUM(F28:F33)</f>
        <v>925000</v>
      </c>
      <c r="G27" s="207">
        <f>SUM(G28:G33)</f>
        <v>200</v>
      </c>
      <c r="H27" s="68">
        <f>SUM(H28:H33)</f>
        <v>1350000</v>
      </c>
    </row>
    <row r="28" spans="1:8" s="9" customFormat="1" ht="27" customHeight="1" x14ac:dyDescent="0.25">
      <c r="A28" s="199"/>
      <c r="B28" s="832"/>
      <c r="C28" s="207"/>
      <c r="D28" s="4" t="s">
        <v>42</v>
      </c>
      <c r="E28" s="30"/>
      <c r="F28" s="37"/>
      <c r="G28" s="4">
        <v>30</v>
      </c>
      <c r="H28" s="17">
        <v>150000</v>
      </c>
    </row>
    <row r="29" spans="1:8" s="2" customFormat="1" ht="15" customHeight="1" x14ac:dyDescent="0.25">
      <c r="A29" s="4"/>
      <c r="B29" s="832"/>
      <c r="C29" s="4"/>
      <c r="D29" s="4" t="s">
        <v>43</v>
      </c>
      <c r="E29" s="30">
        <f>50+25</f>
        <v>75</v>
      </c>
      <c r="F29" s="37">
        <f>250000+125000</f>
        <v>375000</v>
      </c>
      <c r="G29" s="4">
        <v>50</v>
      </c>
      <c r="H29" s="17">
        <v>300000</v>
      </c>
    </row>
    <row r="30" spans="1:8" s="2" customFormat="1" ht="15" customHeight="1" x14ac:dyDescent="0.25">
      <c r="A30" s="4"/>
      <c r="B30" s="832"/>
      <c r="C30" s="4"/>
      <c r="D30" s="4" t="s">
        <v>44</v>
      </c>
      <c r="E30" s="30">
        <f>45+25</f>
        <v>70</v>
      </c>
      <c r="F30" s="37">
        <f>175000+250000</f>
        <v>425000</v>
      </c>
      <c r="G30" s="4">
        <v>50</v>
      </c>
      <c r="H30" s="17">
        <v>300000</v>
      </c>
    </row>
    <row r="31" spans="1:8" s="2" customFormat="1" ht="15" customHeight="1" x14ac:dyDescent="0.25">
      <c r="A31" s="4"/>
      <c r="B31" s="832"/>
      <c r="C31" s="4"/>
      <c r="D31" s="4" t="s">
        <v>45</v>
      </c>
      <c r="E31" s="30"/>
      <c r="F31" s="37"/>
      <c r="G31" s="4">
        <v>20</v>
      </c>
      <c r="H31" s="17">
        <v>150000</v>
      </c>
    </row>
    <row r="32" spans="1:8" s="2" customFormat="1" ht="15" customHeight="1" x14ac:dyDescent="0.25">
      <c r="A32" s="4"/>
      <c r="B32" s="832"/>
      <c r="C32" s="4"/>
      <c r="D32" s="4" t="s">
        <v>46</v>
      </c>
      <c r="E32" s="30"/>
      <c r="F32" s="37"/>
      <c r="G32" s="4">
        <v>20</v>
      </c>
      <c r="H32" s="17">
        <v>150000</v>
      </c>
    </row>
    <row r="33" spans="1:8" s="2" customFormat="1" ht="15" customHeight="1" x14ac:dyDescent="0.25">
      <c r="A33" s="4"/>
      <c r="B33" s="832"/>
      <c r="C33" s="4"/>
      <c r="D33" s="4" t="s">
        <v>47</v>
      </c>
      <c r="E33" s="30">
        <f>25</f>
        <v>25</v>
      </c>
      <c r="F33" s="37">
        <f>125000</f>
        <v>125000</v>
      </c>
      <c r="G33" s="4">
        <v>30</v>
      </c>
      <c r="H33" s="17">
        <v>300000</v>
      </c>
    </row>
    <row r="34" spans="1:8" s="8" customFormat="1" ht="4.5" customHeight="1" x14ac:dyDescent="0.25">
      <c r="A34" s="122"/>
      <c r="B34" s="122"/>
      <c r="C34" s="122"/>
      <c r="D34" s="122"/>
      <c r="E34" s="122"/>
      <c r="F34" s="173"/>
      <c r="G34" s="122"/>
      <c r="H34" s="122"/>
    </row>
    <row r="35" spans="1:8" s="123" customFormat="1" ht="4.5" customHeight="1" x14ac:dyDescent="0.25">
      <c r="F35" s="174"/>
    </row>
    <row r="36" spans="1:8" s="123" customFormat="1" ht="4.5" customHeight="1" x14ac:dyDescent="0.25">
      <c r="F36" s="174"/>
    </row>
    <row r="37" spans="1:8" s="123" customFormat="1" ht="4.5" customHeight="1" x14ac:dyDescent="0.25">
      <c r="F37" s="174"/>
    </row>
    <row r="38" spans="1:8" s="123" customFormat="1" ht="4.5" customHeight="1" x14ac:dyDescent="0.25">
      <c r="F38" s="174"/>
    </row>
    <row r="39" spans="1:8" s="123" customFormat="1" ht="4.5" customHeight="1" x14ac:dyDescent="0.25">
      <c r="F39" s="174"/>
    </row>
    <row r="40" spans="1:8" s="123" customFormat="1" ht="4.5" customHeight="1" x14ac:dyDescent="0.25">
      <c r="F40" s="174"/>
    </row>
    <row r="41" spans="1:8" s="123" customFormat="1" ht="4.5" customHeight="1" x14ac:dyDescent="0.25">
      <c r="F41" s="174"/>
    </row>
    <row r="42" spans="1:8" s="123" customFormat="1" ht="4.5" customHeight="1" x14ac:dyDescent="0.25">
      <c r="F42" s="174"/>
    </row>
    <row r="43" spans="1:8" s="123" customFormat="1" ht="4.5" customHeight="1" x14ac:dyDescent="0.25">
      <c r="F43" s="174"/>
    </row>
    <row r="44" spans="1:8" s="123" customFormat="1" ht="4.5" customHeight="1" x14ac:dyDescent="0.25">
      <c r="F44" s="174"/>
    </row>
    <row r="45" spans="1:8" s="123" customFormat="1" ht="4.5" customHeight="1" x14ac:dyDescent="0.25">
      <c r="F45" s="174"/>
    </row>
    <row r="46" spans="1:8" s="123" customFormat="1" ht="4.5" customHeight="1" x14ac:dyDescent="0.25">
      <c r="F46" s="174"/>
    </row>
    <row r="47" spans="1:8" s="123" customFormat="1" ht="4.5" customHeight="1" x14ac:dyDescent="0.25">
      <c r="F47" s="174"/>
    </row>
    <row r="48" spans="1:8" s="123" customFormat="1" ht="4.5" customHeight="1" x14ac:dyDescent="0.25">
      <c r="F48" s="174"/>
    </row>
    <row r="49" spans="1:8" s="123" customFormat="1" ht="4.5" customHeight="1" x14ac:dyDescent="0.25">
      <c r="F49" s="174"/>
    </row>
    <row r="50" spans="1:8" s="123" customFormat="1" ht="4.5" customHeight="1" x14ac:dyDescent="0.25">
      <c r="F50" s="174"/>
    </row>
    <row r="51" spans="1:8" s="123" customFormat="1" ht="4.5" customHeight="1" x14ac:dyDescent="0.25">
      <c r="F51" s="174"/>
    </row>
    <row r="52" spans="1:8" s="123" customFormat="1" ht="4.5" customHeight="1" x14ac:dyDescent="0.25">
      <c r="F52" s="174"/>
    </row>
    <row r="53" spans="1:8" s="123" customFormat="1" ht="4.5" customHeight="1" x14ac:dyDescent="0.25">
      <c r="F53" s="174"/>
    </row>
    <row r="54" spans="1:8" s="123" customFormat="1" ht="4.5" customHeight="1" x14ac:dyDescent="0.25">
      <c r="F54" s="174"/>
    </row>
    <row r="55" spans="1:8" s="9" customFormat="1" ht="20.25" customHeight="1" x14ac:dyDescent="0.25">
      <c r="A55" s="199" t="s">
        <v>6</v>
      </c>
      <c r="B55" s="831" t="s">
        <v>54</v>
      </c>
      <c r="C55" s="856" t="s">
        <v>20</v>
      </c>
      <c r="D55" s="70" t="s">
        <v>79</v>
      </c>
      <c r="E55" s="119">
        <f>SUM(E56:E61)</f>
        <v>5502</v>
      </c>
      <c r="F55" s="69">
        <f>SUM(F56:F61)</f>
        <v>8680570</v>
      </c>
      <c r="G55" s="119">
        <f>SUM(G56:G61)</f>
        <v>7628</v>
      </c>
      <c r="H55" s="69">
        <f>SUM(H56:H61)</f>
        <v>11899680</v>
      </c>
    </row>
    <row r="56" spans="1:8" s="9" customFormat="1" ht="20.25" customHeight="1" x14ac:dyDescent="0.25">
      <c r="A56" s="6"/>
      <c r="B56" s="832"/>
      <c r="C56" s="857"/>
      <c r="D56" s="4" t="s">
        <v>42</v>
      </c>
      <c r="E56" s="30">
        <v>450</v>
      </c>
      <c r="F56" s="37">
        <v>707400</v>
      </c>
      <c r="G56" s="4">
        <v>540</v>
      </c>
      <c r="H56" s="17">
        <v>842400</v>
      </c>
    </row>
    <row r="57" spans="1:8" s="22" customFormat="1" ht="14.25" customHeight="1" x14ac:dyDescent="0.25">
      <c r="A57" s="21"/>
      <c r="B57" s="832"/>
      <c r="C57" s="857"/>
      <c r="D57" s="4" t="s">
        <v>43</v>
      </c>
      <c r="E57" s="30">
        <v>1562</v>
      </c>
      <c r="F57" s="37">
        <v>2455470</v>
      </c>
      <c r="G57" s="4">
        <v>2375</v>
      </c>
      <c r="H57" s="17">
        <v>3705000</v>
      </c>
    </row>
    <row r="58" spans="1:8" s="22" customFormat="1" x14ac:dyDescent="0.25">
      <c r="A58" s="21"/>
      <c r="B58" s="833"/>
      <c r="C58" s="857"/>
      <c r="D58" s="4" t="s">
        <v>44</v>
      </c>
      <c r="E58" s="30">
        <v>1190</v>
      </c>
      <c r="F58" s="37">
        <v>1870650</v>
      </c>
      <c r="G58" s="4">
        <v>1928</v>
      </c>
      <c r="H58" s="17">
        <v>3007680</v>
      </c>
    </row>
    <row r="59" spans="1:8" s="22" customFormat="1" x14ac:dyDescent="0.25">
      <c r="A59" s="21"/>
      <c r="B59" s="21"/>
      <c r="C59" s="857"/>
      <c r="D59" s="4" t="s">
        <v>45</v>
      </c>
      <c r="E59" s="30">
        <v>612</v>
      </c>
      <c r="F59" s="37">
        <v>962070</v>
      </c>
      <c r="G59" s="4">
        <v>735</v>
      </c>
      <c r="H59" s="17">
        <v>1146600</v>
      </c>
    </row>
    <row r="60" spans="1:8" s="22" customFormat="1" x14ac:dyDescent="0.25">
      <c r="A60" s="21"/>
      <c r="B60" s="21"/>
      <c r="C60" s="857"/>
      <c r="D60" s="4" t="s">
        <v>46</v>
      </c>
      <c r="E60" s="30">
        <v>1048</v>
      </c>
      <c r="F60" s="37">
        <v>1678880</v>
      </c>
      <c r="G60" s="4">
        <v>1282</v>
      </c>
      <c r="H60" s="17">
        <v>1999920</v>
      </c>
    </row>
    <row r="61" spans="1:8" s="22" customFormat="1" x14ac:dyDescent="0.25">
      <c r="A61" s="21"/>
      <c r="B61" s="21"/>
      <c r="C61" s="857"/>
      <c r="D61" s="4" t="s">
        <v>47</v>
      </c>
      <c r="E61" s="30">
        <v>640</v>
      </c>
      <c r="F61" s="37">
        <v>1006100</v>
      </c>
      <c r="G61" s="4">
        <v>768</v>
      </c>
      <c r="H61" s="17">
        <v>1198080</v>
      </c>
    </row>
    <row r="62" spans="1:8" s="8" customFormat="1" ht="3.75" customHeight="1" x14ac:dyDescent="0.25">
      <c r="A62" s="7"/>
      <c r="B62" s="7"/>
      <c r="C62" s="7"/>
      <c r="D62" s="7"/>
      <c r="E62" s="7"/>
      <c r="F62" s="93"/>
      <c r="G62" s="7"/>
      <c r="H62" s="7"/>
    </row>
    <row r="63" spans="1:8" s="9" customFormat="1" ht="21.75" customHeight="1" x14ac:dyDescent="0.25">
      <c r="A63" s="6" t="s">
        <v>16</v>
      </c>
      <c r="B63" s="856" t="s">
        <v>55</v>
      </c>
      <c r="C63" s="856" t="s">
        <v>19</v>
      </c>
      <c r="D63" s="70" t="s">
        <v>79</v>
      </c>
      <c r="E63" s="64">
        <f>SUM(E64:E69)</f>
        <v>488</v>
      </c>
      <c r="F63" s="78">
        <f>SUM(F64:F69)</f>
        <v>2007500</v>
      </c>
      <c r="G63" s="64">
        <f>SUM(G64:G69)</f>
        <v>1483</v>
      </c>
      <c r="H63" s="78">
        <f>SUM(H64:H69)</f>
        <v>8898000</v>
      </c>
    </row>
    <row r="64" spans="1:8" s="9" customFormat="1" ht="19.5" customHeight="1" x14ac:dyDescent="0.25">
      <c r="A64" s="6"/>
      <c r="B64" s="857"/>
      <c r="C64" s="857"/>
      <c r="D64" s="4" t="s">
        <v>42</v>
      </c>
      <c r="E64" s="30">
        <v>65</v>
      </c>
      <c r="F64" s="37">
        <v>283500</v>
      </c>
      <c r="G64" s="20">
        <v>245</v>
      </c>
      <c r="H64" s="17">
        <v>1470000</v>
      </c>
    </row>
    <row r="65" spans="1:8" s="1" customFormat="1" ht="18" customHeight="1" x14ac:dyDescent="0.25">
      <c r="A65" s="5"/>
      <c r="B65" s="857"/>
      <c r="C65" s="857"/>
      <c r="D65" s="4" t="s">
        <v>43</v>
      </c>
      <c r="E65" s="30">
        <v>83</v>
      </c>
      <c r="F65" s="37">
        <v>325000</v>
      </c>
      <c r="G65" s="20">
        <v>243</v>
      </c>
      <c r="H65" s="17">
        <v>1458000</v>
      </c>
    </row>
    <row r="66" spans="1:8" s="1" customFormat="1" x14ac:dyDescent="0.25">
      <c r="A66" s="5"/>
      <c r="B66" s="921"/>
      <c r="C66" s="857"/>
      <c r="D66" s="4" t="s">
        <v>44</v>
      </c>
      <c r="E66" s="30">
        <v>71</v>
      </c>
      <c r="F66" s="37">
        <v>313000</v>
      </c>
      <c r="G66" s="20">
        <v>231</v>
      </c>
      <c r="H66" s="17">
        <v>1386000</v>
      </c>
    </row>
    <row r="67" spans="1:8" s="1" customFormat="1" x14ac:dyDescent="0.25">
      <c r="A67" s="5"/>
      <c r="B67" s="5"/>
      <c r="C67" s="857"/>
      <c r="D67" s="4" t="s">
        <v>45</v>
      </c>
      <c r="E67" s="30">
        <v>65</v>
      </c>
      <c r="F67" s="37">
        <v>256000</v>
      </c>
      <c r="G67" s="20">
        <v>225</v>
      </c>
      <c r="H67" s="17">
        <v>1350000</v>
      </c>
    </row>
    <row r="68" spans="1:8" s="1" customFormat="1" x14ac:dyDescent="0.25">
      <c r="A68" s="5"/>
      <c r="B68" s="5"/>
      <c r="C68" s="857"/>
      <c r="D68" s="4" t="s">
        <v>46</v>
      </c>
      <c r="E68" s="30">
        <v>104</v>
      </c>
      <c r="F68" s="37">
        <v>380000</v>
      </c>
      <c r="G68" s="20">
        <v>259</v>
      </c>
      <c r="H68" s="17">
        <v>1554000</v>
      </c>
    </row>
    <row r="69" spans="1:8" s="1" customFormat="1" x14ac:dyDescent="0.25">
      <c r="A69" s="5"/>
      <c r="B69" s="5"/>
      <c r="C69" s="857"/>
      <c r="D69" s="4" t="s">
        <v>47</v>
      </c>
      <c r="E69" s="30">
        <v>100</v>
      </c>
      <c r="F69" s="37">
        <v>450000</v>
      </c>
      <c r="G69" s="20">
        <v>280</v>
      </c>
      <c r="H69" s="17">
        <v>1680000</v>
      </c>
    </row>
    <row r="70" spans="1:8" s="8" customFormat="1" ht="6" customHeight="1" x14ac:dyDescent="0.25">
      <c r="A70" s="7"/>
      <c r="B70" s="7"/>
      <c r="C70" s="7"/>
      <c r="D70" s="7"/>
      <c r="E70" s="7"/>
      <c r="F70" s="93"/>
      <c r="G70" s="7"/>
      <c r="H70" s="7"/>
    </row>
    <row r="71" spans="1:8" s="9" customFormat="1" ht="23.25" customHeight="1" x14ac:dyDescent="0.25">
      <c r="A71" s="926" t="s">
        <v>17</v>
      </c>
      <c r="B71" s="923" t="s">
        <v>56</v>
      </c>
      <c r="C71" s="6" t="s">
        <v>18</v>
      </c>
      <c r="D71" s="70" t="s">
        <v>79</v>
      </c>
      <c r="E71" s="64">
        <f>SUM(E72:E77)</f>
        <v>23</v>
      </c>
      <c r="F71" s="78">
        <f>SUM(F72:F77)</f>
        <v>33450</v>
      </c>
      <c r="G71" s="63"/>
      <c r="H71" s="63"/>
    </row>
    <row r="72" spans="1:8" s="9" customFormat="1" ht="22.5" customHeight="1" x14ac:dyDescent="0.25">
      <c r="A72" s="927"/>
      <c r="B72" s="924"/>
      <c r="C72" s="6"/>
      <c r="D72" s="4" t="s">
        <v>42</v>
      </c>
      <c r="E72" s="44">
        <f>2</f>
        <v>2</v>
      </c>
      <c r="F72" s="41">
        <f>3000</f>
        <v>3000</v>
      </c>
      <c r="G72" s="5"/>
      <c r="H72" s="4"/>
    </row>
    <row r="73" spans="1:8" s="1" customFormat="1" x14ac:dyDescent="0.25">
      <c r="A73" s="5"/>
      <c r="B73" s="924"/>
      <c r="C73" s="5"/>
      <c r="D73" s="4" t="s">
        <v>43</v>
      </c>
      <c r="E73" s="44">
        <f>1+1+10+1</f>
        <v>13</v>
      </c>
      <c r="F73" s="38">
        <f>1500+2000+13250+1000</f>
        <v>17750</v>
      </c>
      <c r="G73" s="5"/>
      <c r="H73" s="4"/>
    </row>
    <row r="74" spans="1:8" s="1" customFormat="1" x14ac:dyDescent="0.25">
      <c r="A74" s="5"/>
      <c r="B74" s="924"/>
      <c r="C74" s="5"/>
      <c r="D74" s="4" t="s">
        <v>44</v>
      </c>
      <c r="E74" s="44">
        <f>1+2</f>
        <v>3</v>
      </c>
      <c r="F74" s="39">
        <f>2500+2500</f>
        <v>5000</v>
      </c>
      <c r="G74" s="5"/>
      <c r="H74" s="4"/>
    </row>
    <row r="75" spans="1:8" s="1" customFormat="1" x14ac:dyDescent="0.25">
      <c r="A75" s="5"/>
      <c r="B75" s="924"/>
      <c r="C75" s="5"/>
      <c r="D75" s="4" t="s">
        <v>45</v>
      </c>
      <c r="E75" s="44"/>
      <c r="F75" s="39"/>
      <c r="G75" s="5"/>
      <c r="H75" s="4"/>
    </row>
    <row r="76" spans="1:8" s="1" customFormat="1" x14ac:dyDescent="0.25">
      <c r="A76" s="5"/>
      <c r="B76" s="924"/>
      <c r="C76" s="5"/>
      <c r="D76" s="4" t="s">
        <v>46</v>
      </c>
      <c r="E76" s="44">
        <f>1</f>
        <v>1</v>
      </c>
      <c r="F76" s="39">
        <f>200</f>
        <v>200</v>
      </c>
      <c r="G76" s="5"/>
      <c r="H76" s="4"/>
    </row>
    <row r="77" spans="1:8" s="1" customFormat="1" x14ac:dyDescent="0.25">
      <c r="A77" s="5"/>
      <c r="B77" s="973"/>
      <c r="C77" s="5"/>
      <c r="D77" s="4" t="s">
        <v>47</v>
      </c>
      <c r="E77" s="44">
        <f>3+1</f>
        <v>4</v>
      </c>
      <c r="F77" s="40">
        <f>6000+1500</f>
        <v>7500</v>
      </c>
      <c r="G77" s="5"/>
      <c r="H77" s="4"/>
    </row>
    <row r="78" spans="1:8" s="8" customFormat="1" ht="4.5" customHeight="1" x14ac:dyDescent="0.25">
      <c r="A78" s="7"/>
      <c r="B78" s="7"/>
      <c r="C78" s="7"/>
      <c r="D78" s="7"/>
      <c r="E78" s="7"/>
      <c r="F78" s="93"/>
      <c r="G78" s="7"/>
      <c r="H78" s="7"/>
    </row>
    <row r="79" spans="1:8" s="9" customFormat="1" ht="34.5" hidden="1" customHeight="1" x14ac:dyDescent="0.25">
      <c r="A79" s="6" t="s">
        <v>22</v>
      </c>
      <c r="B79" s="831" t="s">
        <v>57</v>
      </c>
      <c r="C79" s="6" t="s">
        <v>37</v>
      </c>
      <c r="D79" s="6"/>
      <c r="E79" s="42">
        <f>SUM(E80:E85)</f>
        <v>227</v>
      </c>
      <c r="F79" s="94">
        <f>SUM(F80:F85)</f>
        <v>562960</v>
      </c>
      <c r="G79" s="6"/>
      <c r="H79" s="6"/>
    </row>
    <row r="80" spans="1:8" s="1" customFormat="1" ht="15" hidden="1" customHeight="1" x14ac:dyDescent="0.25">
      <c r="A80" s="972" t="s">
        <v>35</v>
      </c>
      <c r="B80" s="832"/>
      <c r="C80" s="5"/>
      <c r="D80" s="4" t="s">
        <v>42</v>
      </c>
      <c r="E80" s="44"/>
      <c r="F80" s="41"/>
      <c r="G80" s="5"/>
      <c r="H80" s="4" t="s">
        <v>8</v>
      </c>
    </row>
    <row r="81" spans="1:9" s="1" customFormat="1" ht="15" hidden="1" customHeight="1" x14ac:dyDescent="0.25">
      <c r="A81" s="918"/>
      <c r="B81" s="833"/>
      <c r="C81" s="5"/>
      <c r="D81" s="4" t="s">
        <v>43</v>
      </c>
      <c r="E81" s="44"/>
      <c r="F81" s="38"/>
      <c r="G81" s="5"/>
      <c r="H81" s="4" t="s">
        <v>9</v>
      </c>
    </row>
    <row r="82" spans="1:9" s="1" customFormat="1" ht="15" hidden="1" customHeight="1" x14ac:dyDescent="0.25">
      <c r="A82" s="918"/>
      <c r="B82" s="201"/>
      <c r="C82" s="5"/>
      <c r="D82" s="4" t="s">
        <v>44</v>
      </c>
      <c r="E82" s="45">
        <v>227</v>
      </c>
      <c r="F82" s="39">
        <v>562960</v>
      </c>
      <c r="G82" s="5"/>
      <c r="H82" s="4" t="s">
        <v>10</v>
      </c>
    </row>
    <row r="83" spans="1:9" s="1" customFormat="1" ht="15" hidden="1" customHeight="1" x14ac:dyDescent="0.25">
      <c r="A83" s="918"/>
      <c r="B83" s="201"/>
      <c r="C83" s="5"/>
      <c r="D83" s="4" t="s">
        <v>45</v>
      </c>
      <c r="E83" s="44"/>
      <c r="F83" s="39"/>
      <c r="G83" s="5"/>
      <c r="H83" s="4" t="s">
        <v>11</v>
      </c>
    </row>
    <row r="84" spans="1:9" s="1" customFormat="1" ht="15" hidden="1" customHeight="1" x14ac:dyDescent="0.25">
      <c r="A84" s="918"/>
      <c r="B84" s="201"/>
      <c r="C84" s="5"/>
      <c r="D84" s="4" t="s">
        <v>46</v>
      </c>
      <c r="E84" s="44"/>
      <c r="F84" s="39"/>
      <c r="G84" s="5"/>
      <c r="H84" s="4" t="s">
        <v>12</v>
      </c>
    </row>
    <row r="85" spans="1:9" s="1" customFormat="1" ht="15" hidden="1" customHeight="1" x14ac:dyDescent="0.25">
      <c r="A85" s="918"/>
      <c r="B85" s="201"/>
      <c r="C85" s="5"/>
      <c r="D85" s="4" t="s">
        <v>47</v>
      </c>
      <c r="E85" s="44"/>
      <c r="F85" s="40"/>
      <c r="G85" s="5"/>
      <c r="H85" s="4" t="s">
        <v>13</v>
      </c>
    </row>
    <row r="86" spans="1:9" s="8" customFormat="1" ht="8.25" hidden="1" customHeight="1" x14ac:dyDescent="0.25">
      <c r="A86" s="7"/>
      <c r="B86" s="7"/>
      <c r="C86" s="7"/>
      <c r="D86" s="7"/>
      <c r="E86" s="7"/>
      <c r="F86" s="93"/>
      <c r="G86" s="7"/>
      <c r="H86" s="7"/>
    </row>
    <row r="87" spans="1:9" s="9" customFormat="1" ht="24.75" customHeight="1" x14ac:dyDescent="0.25">
      <c r="A87" s="6" t="s">
        <v>23</v>
      </c>
      <c r="B87" s="831" t="s">
        <v>58</v>
      </c>
      <c r="C87" s="6" t="s">
        <v>24</v>
      </c>
      <c r="D87" s="224" t="s">
        <v>79</v>
      </c>
      <c r="E87" s="64">
        <f>SUM(E88:E94)</f>
        <v>11604</v>
      </c>
      <c r="F87" s="78">
        <f>SUM(F88:F94)</f>
        <v>3037440</v>
      </c>
      <c r="G87" s="63"/>
      <c r="H87" s="63"/>
      <c r="I87" s="66"/>
    </row>
    <row r="88" spans="1:9" s="9" customFormat="1" ht="30" customHeight="1" x14ac:dyDescent="0.25">
      <c r="A88" s="6"/>
      <c r="B88" s="832"/>
      <c r="C88" s="6"/>
      <c r="D88" s="4" t="s">
        <v>42</v>
      </c>
      <c r="E88" s="44">
        <f>800</f>
        <v>800</v>
      </c>
      <c r="F88" s="41">
        <f>200000</f>
        <v>200000</v>
      </c>
      <c r="G88" s="15"/>
      <c r="H88" s="15"/>
      <c r="I88" s="66"/>
    </row>
    <row r="89" spans="1:9" s="16" customFormat="1" x14ac:dyDescent="0.25">
      <c r="A89" s="15"/>
      <c r="B89" s="832"/>
      <c r="C89" s="15"/>
      <c r="D89" s="4" t="s">
        <v>43</v>
      </c>
      <c r="E89" s="44">
        <f>4000</f>
        <v>4000</v>
      </c>
      <c r="F89" s="38">
        <f>1039394.78</f>
        <v>1039394.78</v>
      </c>
      <c r="G89" s="5"/>
      <c r="H89" s="4"/>
    </row>
    <row r="90" spans="1:9" s="1" customFormat="1" x14ac:dyDescent="0.25">
      <c r="A90" s="5"/>
      <c r="B90" s="832"/>
      <c r="C90" s="5"/>
      <c r="D90" s="4" t="s">
        <v>44</v>
      </c>
      <c r="E90" s="44">
        <f>1000</f>
        <v>1000</v>
      </c>
      <c r="F90" s="39">
        <f>278242.02</f>
        <v>278242.02</v>
      </c>
      <c r="G90" s="5"/>
      <c r="H90" s="4"/>
    </row>
    <row r="91" spans="1:9" s="1" customFormat="1" x14ac:dyDescent="0.25">
      <c r="A91" s="5"/>
      <c r="B91" s="832"/>
      <c r="C91" s="5"/>
      <c r="D91" s="4" t="s">
        <v>45</v>
      </c>
      <c r="E91" s="44">
        <f>800</f>
        <v>800</v>
      </c>
      <c r="F91" s="39">
        <f>222049</f>
        <v>222049</v>
      </c>
      <c r="G91" s="5"/>
      <c r="H91" s="4"/>
    </row>
    <row r="92" spans="1:9" s="1" customFormat="1" x14ac:dyDescent="0.25">
      <c r="A92" s="5"/>
      <c r="B92" s="832"/>
      <c r="C92" s="5"/>
      <c r="D92" s="4" t="s">
        <v>46</v>
      </c>
      <c r="E92" s="44">
        <f>1000</f>
        <v>1000</v>
      </c>
      <c r="F92" s="40">
        <f>263325.74</f>
        <v>263325.74</v>
      </c>
      <c r="G92" s="5"/>
      <c r="H92" s="4"/>
    </row>
    <row r="93" spans="1:9" s="1" customFormat="1" x14ac:dyDescent="0.25">
      <c r="A93" s="5"/>
      <c r="B93" s="832"/>
      <c r="C93" s="5"/>
      <c r="D93" s="4" t="s">
        <v>47</v>
      </c>
      <c r="E93" s="44">
        <f>1000+4</f>
        <v>1004</v>
      </c>
      <c r="F93" s="100">
        <f>290524.46+2009</f>
        <v>292533.46000000002</v>
      </c>
      <c r="G93" s="5"/>
      <c r="H93" s="4"/>
    </row>
    <row r="94" spans="1:9" s="1" customFormat="1" x14ac:dyDescent="0.25">
      <c r="A94" s="5"/>
      <c r="B94" s="833"/>
      <c r="C94" s="5"/>
      <c r="D94" s="210" t="s">
        <v>204</v>
      </c>
      <c r="E94" s="44">
        <v>3000</v>
      </c>
      <c r="F94" s="100">
        <f>741895</f>
        <v>741895</v>
      </c>
      <c r="G94" s="5"/>
      <c r="H94" s="4"/>
    </row>
    <row r="95" spans="1:9" s="123" customFormat="1" ht="8.25" customHeight="1" x14ac:dyDescent="0.25">
      <c r="F95" s="174"/>
    </row>
    <row r="96" spans="1:9" s="123" customFormat="1" ht="8.25" customHeight="1" x14ac:dyDescent="0.25">
      <c r="F96" s="174"/>
    </row>
    <row r="97" spans="1:8" s="123" customFormat="1" ht="8.25" customHeight="1" x14ac:dyDescent="0.25">
      <c r="F97" s="174"/>
    </row>
    <row r="98" spans="1:8" s="123" customFormat="1" ht="8.25" customHeight="1" x14ac:dyDescent="0.25">
      <c r="F98" s="174"/>
    </row>
    <row r="99" spans="1:8" s="123" customFormat="1" ht="8.25" customHeight="1" x14ac:dyDescent="0.25">
      <c r="F99" s="174"/>
    </row>
    <row r="100" spans="1:8" s="123" customFormat="1" ht="8.25" customHeight="1" x14ac:dyDescent="0.25">
      <c r="F100" s="174"/>
    </row>
    <row r="101" spans="1:8" s="123" customFormat="1" ht="8.25" customHeight="1" x14ac:dyDescent="0.25">
      <c r="F101" s="174"/>
    </row>
    <row r="102" spans="1:8" s="123" customFormat="1" ht="8.25" customHeight="1" x14ac:dyDescent="0.25">
      <c r="F102" s="174"/>
    </row>
    <row r="103" spans="1:8" s="123" customFormat="1" ht="8.25" customHeight="1" x14ac:dyDescent="0.25">
      <c r="F103" s="174"/>
    </row>
    <row r="104" spans="1:8" s="123" customFormat="1" ht="8.25" customHeight="1" x14ac:dyDescent="0.25">
      <c r="F104" s="174"/>
    </row>
    <row r="105" spans="1:8" s="123" customFormat="1" ht="8.25" customHeight="1" x14ac:dyDescent="0.25">
      <c r="F105" s="174"/>
    </row>
    <row r="106" spans="1:8" s="9" customFormat="1" ht="19.5" customHeight="1" x14ac:dyDescent="0.25">
      <c r="A106" s="200" t="s">
        <v>63</v>
      </c>
      <c r="B106" s="831" t="s">
        <v>64</v>
      </c>
      <c r="C106" s="926" t="s">
        <v>65</v>
      </c>
      <c r="D106" s="70" t="s">
        <v>79</v>
      </c>
      <c r="E106" s="119">
        <f>SUM(E107:E112)</f>
        <v>4</v>
      </c>
      <c r="F106" s="223">
        <f>SUM(F107:F112)</f>
        <v>40000</v>
      </c>
      <c r="G106" s="207">
        <f>SUM(G107:G112)</f>
        <v>0</v>
      </c>
      <c r="H106" s="69">
        <f>SUM(H107:H112)</f>
        <v>0</v>
      </c>
    </row>
    <row r="107" spans="1:8" s="9" customFormat="1" ht="16.5" customHeight="1" x14ac:dyDescent="0.25">
      <c r="A107" s="198"/>
      <c r="B107" s="879"/>
      <c r="C107" s="927"/>
      <c r="D107" s="4" t="s">
        <v>42</v>
      </c>
      <c r="E107" s="44"/>
      <c r="F107" s="41"/>
      <c r="G107" s="15"/>
      <c r="H107" s="53"/>
    </row>
    <row r="108" spans="1:8" s="16" customFormat="1" ht="15" customHeight="1" x14ac:dyDescent="0.25">
      <c r="A108" s="869"/>
      <c r="B108" s="879"/>
      <c r="C108" s="15"/>
      <c r="D108" s="4" t="s">
        <v>43</v>
      </c>
      <c r="E108" s="44"/>
      <c r="F108" s="38"/>
      <c r="G108" s="20"/>
      <c r="H108" s="17"/>
    </row>
    <row r="109" spans="1:8" s="1" customFormat="1" x14ac:dyDescent="0.25">
      <c r="A109" s="870"/>
      <c r="B109" s="879"/>
      <c r="C109" s="5"/>
      <c r="D109" s="4" t="s">
        <v>44</v>
      </c>
      <c r="E109" s="44"/>
      <c r="F109" s="39"/>
      <c r="G109" s="20"/>
      <c r="H109" s="17"/>
    </row>
    <row r="110" spans="1:8" s="1" customFormat="1" x14ac:dyDescent="0.25">
      <c r="A110" s="55"/>
      <c r="B110" s="879"/>
      <c r="C110" s="5"/>
      <c r="D110" s="4" t="s">
        <v>45</v>
      </c>
      <c r="E110" s="44"/>
      <c r="F110" s="39"/>
      <c r="G110" s="20"/>
      <c r="H110" s="17"/>
    </row>
    <row r="111" spans="1:8" s="1" customFormat="1" x14ac:dyDescent="0.25">
      <c r="A111" s="55"/>
      <c r="B111" s="879"/>
      <c r="C111" s="5"/>
      <c r="D111" s="4" t="s">
        <v>46</v>
      </c>
      <c r="E111" s="44"/>
      <c r="F111" s="39"/>
      <c r="G111" s="20"/>
      <c r="H111" s="17"/>
    </row>
    <row r="112" spans="1:8" s="1" customFormat="1" x14ac:dyDescent="0.25">
      <c r="A112" s="55"/>
      <c r="B112" s="879"/>
      <c r="C112" s="5"/>
      <c r="D112" s="4" t="s">
        <v>47</v>
      </c>
      <c r="E112" s="44">
        <f>4</f>
        <v>4</v>
      </c>
      <c r="F112" s="62">
        <f>40000</f>
        <v>40000</v>
      </c>
      <c r="G112" s="20"/>
      <c r="H112" s="17"/>
    </row>
    <row r="113" spans="1:8" s="8" customFormat="1" ht="8.25" customHeight="1" x14ac:dyDescent="0.25">
      <c r="A113" s="60"/>
      <c r="B113" s="60"/>
      <c r="C113" s="60"/>
      <c r="D113" s="60"/>
      <c r="E113" s="60"/>
      <c r="F113" s="96"/>
      <c r="G113" s="60"/>
      <c r="H113" s="60"/>
    </row>
    <row r="114" spans="1:8" s="9" customFormat="1" ht="21" customHeight="1" x14ac:dyDescent="0.25">
      <c r="A114" s="198" t="s">
        <v>67</v>
      </c>
      <c r="B114" s="831" t="s">
        <v>68</v>
      </c>
      <c r="C114" s="926" t="s">
        <v>65</v>
      </c>
      <c r="D114" s="70" t="s">
        <v>79</v>
      </c>
      <c r="E114" s="64">
        <f>SUM(E115:E120)</f>
        <v>377</v>
      </c>
      <c r="F114" s="78">
        <f>SUM(F115:F120)</f>
        <v>600460</v>
      </c>
      <c r="G114" s="63">
        <f>SUM(G115:G120)</f>
        <v>0</v>
      </c>
      <c r="H114" s="78">
        <f>SUM(H115:H120)</f>
        <v>0</v>
      </c>
    </row>
    <row r="115" spans="1:8" s="9" customFormat="1" ht="21" customHeight="1" x14ac:dyDescent="0.25">
      <c r="A115" s="198"/>
      <c r="B115" s="879"/>
      <c r="C115" s="927"/>
      <c r="D115" s="4" t="s">
        <v>42</v>
      </c>
      <c r="E115" s="44"/>
      <c r="F115" s="41"/>
      <c r="G115" s="15"/>
      <c r="H115" s="53"/>
    </row>
    <row r="116" spans="1:8" s="16" customFormat="1" ht="15" customHeight="1" x14ac:dyDescent="0.25">
      <c r="A116" s="869"/>
      <c r="B116" s="879"/>
      <c r="C116" s="15"/>
      <c r="D116" s="4" t="s">
        <v>43</v>
      </c>
      <c r="E116" s="44">
        <f>150</f>
        <v>150</v>
      </c>
      <c r="F116" s="38">
        <f>37500</f>
        <v>37500</v>
      </c>
      <c r="G116" s="20"/>
      <c r="H116" s="17"/>
    </row>
    <row r="117" spans="1:8" s="1" customFormat="1" x14ac:dyDescent="0.25">
      <c r="A117" s="870"/>
      <c r="B117" s="879"/>
      <c r="C117" s="5"/>
      <c r="D117" s="4" t="s">
        <v>44</v>
      </c>
      <c r="E117" s="44">
        <f>227</f>
        <v>227</v>
      </c>
      <c r="F117" s="39">
        <f>562960</f>
        <v>562960</v>
      </c>
      <c r="G117" s="20"/>
      <c r="H117" s="17"/>
    </row>
    <row r="118" spans="1:8" s="1" customFormat="1" x14ac:dyDescent="0.25">
      <c r="A118" s="55"/>
      <c r="B118" s="879"/>
      <c r="C118" s="5"/>
      <c r="D118" s="4" t="s">
        <v>45</v>
      </c>
      <c r="E118" s="44"/>
      <c r="F118" s="39"/>
      <c r="G118" s="20"/>
      <c r="H118" s="17"/>
    </row>
    <row r="119" spans="1:8" s="1" customFormat="1" x14ac:dyDescent="0.25">
      <c r="A119" s="55"/>
      <c r="B119" s="879"/>
      <c r="C119" s="5"/>
      <c r="D119" s="4" t="s">
        <v>46</v>
      </c>
      <c r="E119" s="44"/>
      <c r="F119" s="39"/>
      <c r="G119" s="20"/>
      <c r="H119" s="17"/>
    </row>
    <row r="120" spans="1:8" s="1" customFormat="1" x14ac:dyDescent="0.25">
      <c r="A120" s="55"/>
      <c r="B120" s="879"/>
      <c r="C120" s="5"/>
      <c r="D120" s="4" t="s">
        <v>47</v>
      </c>
      <c r="E120" s="44"/>
      <c r="F120" s="62"/>
      <c r="G120" s="20"/>
      <c r="H120" s="17"/>
    </row>
    <row r="121" spans="1:8" s="8" customFormat="1" ht="8.25" customHeight="1" x14ac:dyDescent="0.25">
      <c r="A121" s="7"/>
      <c r="B121" s="7"/>
      <c r="C121" s="7"/>
      <c r="D121" s="7"/>
      <c r="E121" s="7"/>
      <c r="F121" s="93"/>
      <c r="G121" s="7"/>
      <c r="H121" s="7"/>
    </row>
    <row r="122" spans="1:8" s="9" customFormat="1" ht="34.5" hidden="1" customHeight="1" x14ac:dyDescent="0.25">
      <c r="A122" s="6" t="s">
        <v>22</v>
      </c>
      <c r="B122" s="831" t="s">
        <v>57</v>
      </c>
      <c r="C122" s="6" t="s">
        <v>37</v>
      </c>
      <c r="D122" s="6"/>
      <c r="E122" s="42">
        <f>SUM(E123:E128)</f>
        <v>227</v>
      </c>
      <c r="F122" s="94">
        <f>SUM(F123:F128)</f>
        <v>562960</v>
      </c>
      <c r="G122" s="6"/>
      <c r="H122" s="6"/>
    </row>
    <row r="123" spans="1:8" s="1" customFormat="1" ht="15" hidden="1" customHeight="1" x14ac:dyDescent="0.25">
      <c r="A123" s="972" t="s">
        <v>35</v>
      </c>
      <c r="B123" s="832"/>
      <c r="C123" s="5"/>
      <c r="D123" s="4" t="s">
        <v>42</v>
      </c>
      <c r="E123" s="44"/>
      <c r="F123" s="41"/>
      <c r="G123" s="5"/>
      <c r="H123" s="4" t="s">
        <v>8</v>
      </c>
    </row>
    <row r="124" spans="1:8" s="1" customFormat="1" ht="15" hidden="1" customHeight="1" x14ac:dyDescent="0.25">
      <c r="A124" s="918"/>
      <c r="B124" s="833"/>
      <c r="C124" s="5"/>
      <c r="D124" s="4" t="s">
        <v>43</v>
      </c>
      <c r="E124" s="44"/>
      <c r="F124" s="38"/>
      <c r="G124" s="5"/>
      <c r="H124" s="4" t="s">
        <v>9</v>
      </c>
    </row>
    <row r="125" spans="1:8" s="1" customFormat="1" ht="15" hidden="1" customHeight="1" x14ac:dyDescent="0.25">
      <c r="A125" s="918"/>
      <c r="B125" s="201"/>
      <c r="C125" s="5"/>
      <c r="D125" s="4" t="s">
        <v>44</v>
      </c>
      <c r="E125" s="45">
        <v>227</v>
      </c>
      <c r="F125" s="39">
        <v>562960</v>
      </c>
      <c r="G125" s="5"/>
      <c r="H125" s="4" t="s">
        <v>10</v>
      </c>
    </row>
    <row r="126" spans="1:8" s="1" customFormat="1" ht="15" hidden="1" customHeight="1" x14ac:dyDescent="0.25">
      <c r="A126" s="918"/>
      <c r="B126" s="201"/>
      <c r="C126" s="5"/>
      <c r="D126" s="4" t="s">
        <v>45</v>
      </c>
      <c r="E126" s="44"/>
      <c r="F126" s="39"/>
      <c r="G126" s="5"/>
      <c r="H126" s="4" t="s">
        <v>11</v>
      </c>
    </row>
    <row r="127" spans="1:8" s="1" customFormat="1" ht="15" hidden="1" customHeight="1" x14ac:dyDescent="0.25">
      <c r="A127" s="918"/>
      <c r="B127" s="201"/>
      <c r="C127" s="5"/>
      <c r="D127" s="4" t="s">
        <v>46</v>
      </c>
      <c r="E127" s="44"/>
      <c r="F127" s="39"/>
      <c r="G127" s="5"/>
      <c r="H127" s="4" t="s">
        <v>12</v>
      </c>
    </row>
    <row r="128" spans="1:8" s="1" customFormat="1" ht="15" hidden="1" customHeight="1" x14ac:dyDescent="0.25">
      <c r="A128" s="918"/>
      <c r="B128" s="201"/>
      <c r="C128" s="5"/>
      <c r="D128" s="4" t="s">
        <v>47</v>
      </c>
      <c r="E128" s="44"/>
      <c r="F128" s="40"/>
      <c r="G128" s="5"/>
      <c r="H128" s="4" t="s">
        <v>13</v>
      </c>
    </row>
    <row r="129" spans="1:9" s="8" customFormat="1" ht="8.25" hidden="1" customHeight="1" x14ac:dyDescent="0.25">
      <c r="A129" s="7"/>
      <c r="B129" s="7"/>
      <c r="C129" s="7"/>
      <c r="D129" s="7"/>
      <c r="E129" s="7"/>
      <c r="F129" s="93"/>
      <c r="G129" s="7"/>
      <c r="H129" s="7"/>
    </row>
    <row r="130" spans="1:9" s="9" customFormat="1" ht="30" customHeight="1" x14ac:dyDescent="0.25">
      <c r="A130" s="6" t="s">
        <v>201</v>
      </c>
      <c r="B130" s="831" t="s">
        <v>202</v>
      </c>
      <c r="C130" s="6" t="s">
        <v>24</v>
      </c>
      <c r="D130" s="70" t="s">
        <v>79</v>
      </c>
      <c r="E130" s="64">
        <f>SUM(E131:E136)</f>
        <v>48</v>
      </c>
      <c r="F130" s="78">
        <f>SUM(F131:F136)</f>
        <v>119108</v>
      </c>
      <c r="G130" s="63"/>
      <c r="H130" s="63"/>
      <c r="I130" s="66"/>
    </row>
    <row r="131" spans="1:9" s="9" customFormat="1" ht="30" customHeight="1" x14ac:dyDescent="0.25">
      <c r="A131" s="6"/>
      <c r="B131" s="832"/>
      <c r="C131" s="6"/>
      <c r="D131" s="4" t="s">
        <v>42</v>
      </c>
      <c r="E131" s="44"/>
      <c r="F131" s="41"/>
      <c r="G131" s="15"/>
      <c r="H131" s="15"/>
      <c r="I131" s="66"/>
    </row>
    <row r="132" spans="1:9" s="16" customFormat="1" x14ac:dyDescent="0.25">
      <c r="A132" s="15"/>
      <c r="B132" s="832"/>
      <c r="C132" s="15"/>
      <c r="D132" s="4" t="s">
        <v>43</v>
      </c>
      <c r="E132" s="44">
        <f>8</f>
        <v>8</v>
      </c>
      <c r="F132" s="38">
        <f>4438</f>
        <v>4438</v>
      </c>
      <c r="G132" s="5"/>
      <c r="H132" s="4"/>
    </row>
    <row r="133" spans="1:9" s="1" customFormat="1" x14ac:dyDescent="0.25">
      <c r="A133" s="5"/>
      <c r="B133" s="832"/>
      <c r="C133" s="5"/>
      <c r="D133" s="4" t="s">
        <v>44</v>
      </c>
      <c r="E133" s="44"/>
      <c r="F133" s="39"/>
      <c r="G133" s="5"/>
      <c r="H133" s="4"/>
    </row>
    <row r="134" spans="1:9" s="1" customFormat="1" x14ac:dyDescent="0.25">
      <c r="A134" s="5"/>
      <c r="B134" s="832"/>
      <c r="C134" s="5"/>
      <c r="D134" s="4" t="s">
        <v>45</v>
      </c>
      <c r="E134" s="44"/>
      <c r="F134" s="39"/>
      <c r="G134" s="5"/>
      <c r="H134" s="4"/>
    </row>
    <row r="135" spans="1:9" s="1" customFormat="1" x14ac:dyDescent="0.25">
      <c r="A135" s="5"/>
      <c r="B135" s="832"/>
      <c r="C135" s="5"/>
      <c r="D135" s="4" t="s">
        <v>46</v>
      </c>
      <c r="E135" s="44">
        <f>40</f>
        <v>40</v>
      </c>
      <c r="F135" s="39">
        <f>114670</f>
        <v>114670</v>
      </c>
      <c r="G135" s="5"/>
      <c r="H135" s="4"/>
    </row>
    <row r="136" spans="1:9" s="1" customFormat="1" x14ac:dyDescent="0.25">
      <c r="A136" s="5"/>
      <c r="B136" s="833"/>
      <c r="C136" s="5"/>
      <c r="D136" s="4" t="s">
        <v>47</v>
      </c>
      <c r="E136" s="44"/>
      <c r="F136" s="40"/>
      <c r="G136" s="5"/>
      <c r="H136" s="4"/>
    </row>
    <row r="137" spans="1:9" x14ac:dyDescent="0.25">
      <c r="A137" t="s">
        <v>26</v>
      </c>
      <c r="B137" t="s">
        <v>28</v>
      </c>
      <c r="D137" t="s">
        <v>31</v>
      </c>
      <c r="F137"/>
    </row>
    <row r="138" spans="1:9" x14ac:dyDescent="0.25">
      <c r="F138"/>
    </row>
    <row r="139" spans="1:9" x14ac:dyDescent="0.25">
      <c r="F139"/>
    </row>
    <row r="140" spans="1:9" x14ac:dyDescent="0.25">
      <c r="F140"/>
    </row>
    <row r="141" spans="1:9" x14ac:dyDescent="0.25">
      <c r="A141" t="s">
        <v>27</v>
      </c>
      <c r="B141" t="s">
        <v>29</v>
      </c>
      <c r="D141" t="s">
        <v>32</v>
      </c>
      <c r="F141"/>
    </row>
    <row r="142" spans="1:9" x14ac:dyDescent="0.25">
      <c r="A142" t="s">
        <v>223</v>
      </c>
      <c r="B142" t="s">
        <v>30</v>
      </c>
      <c r="D142" t="s">
        <v>33</v>
      </c>
      <c r="F142"/>
    </row>
  </sheetData>
  <mergeCells count="33">
    <mergeCell ref="B11:B17"/>
    <mergeCell ref="A14:A17"/>
    <mergeCell ref="B19:B25"/>
    <mergeCell ref="A1:H1"/>
    <mergeCell ref="A2:H2"/>
    <mergeCell ref="A4:H4"/>
    <mergeCell ref="A5:H5"/>
    <mergeCell ref="A7:A8"/>
    <mergeCell ref="B7:B8"/>
    <mergeCell ref="C7:C8"/>
    <mergeCell ref="D7:D8"/>
    <mergeCell ref="E7:E8"/>
    <mergeCell ref="F7:F8"/>
    <mergeCell ref="G7:H7"/>
    <mergeCell ref="B27:B33"/>
    <mergeCell ref="B63:B66"/>
    <mergeCell ref="C63:C69"/>
    <mergeCell ref="A71:A72"/>
    <mergeCell ref="B71:B77"/>
    <mergeCell ref="B55:B58"/>
    <mergeCell ref="C55:C61"/>
    <mergeCell ref="B79:B81"/>
    <mergeCell ref="A80:A85"/>
    <mergeCell ref="C106:C107"/>
    <mergeCell ref="A108:A109"/>
    <mergeCell ref="B114:B120"/>
    <mergeCell ref="C114:C115"/>
    <mergeCell ref="A116:A117"/>
    <mergeCell ref="B122:B124"/>
    <mergeCell ref="A123:A128"/>
    <mergeCell ref="B130:B136"/>
    <mergeCell ref="B87:B94"/>
    <mergeCell ref="B106:B112"/>
  </mergeCells>
  <printOptions horizontalCentered="1"/>
  <pageMargins left="0.52" right="0.7" top="0.68" bottom="0.69" header="0.3" footer="0.4"/>
  <pageSetup paperSize="9" scale="80" orientation="landscape" verticalDpi="300" r:id="rId1"/>
  <headerFooter>
    <oddFooter>&amp;L1st Dist of Bataan
&amp;CPage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view="pageBreakPreview" zoomScaleNormal="100" zoomScaleSheetLayoutView="100" workbookViewId="0">
      <selection activeCell="N24" sqref="N24"/>
    </sheetView>
  </sheetViews>
  <sheetFormatPr defaultRowHeight="15" x14ac:dyDescent="0.25"/>
  <cols>
    <col min="1" max="1" width="23.140625" customWidth="1"/>
    <col min="2" max="2" width="9.28515625" style="799" customWidth="1"/>
    <col min="3" max="3" width="17.140625" style="799" customWidth="1"/>
    <col min="4" max="4" width="8.7109375" style="799" customWidth="1"/>
    <col min="5" max="5" width="17.140625" style="799" customWidth="1"/>
    <col min="6" max="6" width="9.42578125" style="799" customWidth="1"/>
    <col min="7" max="7" width="16.85546875" style="799" bestFit="1" customWidth="1"/>
    <col min="8" max="8" width="7.85546875" style="799" customWidth="1"/>
    <col min="9" max="9" width="15.5703125" style="90" customWidth="1"/>
    <col min="10" max="10" width="7.28515625" style="799" customWidth="1"/>
    <col min="11" max="11" width="15.5703125" style="799" customWidth="1"/>
    <col min="12" max="12" width="7.5703125" style="799" customWidth="1"/>
    <col min="13" max="13" width="15.5703125" style="799"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x14ac:dyDescent="0.25">
      <c r="A5" s="858" t="s">
        <v>442</v>
      </c>
      <c r="B5" s="858"/>
      <c r="C5" s="858"/>
      <c r="D5" s="858"/>
      <c r="E5" s="858"/>
      <c r="F5" s="858"/>
      <c r="G5" s="858"/>
      <c r="H5" s="858"/>
      <c r="I5" s="858"/>
      <c r="J5" s="858"/>
      <c r="K5" s="858"/>
      <c r="L5" s="858"/>
      <c r="M5" s="858"/>
    </row>
    <row r="7" spans="1:13" s="343" customFormat="1" ht="34.5" customHeight="1" x14ac:dyDescent="0.25">
      <c r="A7" s="880" t="s">
        <v>426</v>
      </c>
      <c r="B7" s="880" t="s">
        <v>427</v>
      </c>
      <c r="C7" s="880"/>
      <c r="D7" s="880"/>
      <c r="E7" s="880"/>
      <c r="F7" s="880"/>
      <c r="G7" s="880"/>
      <c r="H7" s="881" t="s">
        <v>428</v>
      </c>
      <c r="I7" s="882"/>
      <c r="J7" s="882"/>
      <c r="K7" s="882"/>
      <c r="L7" s="882"/>
      <c r="M7" s="882"/>
    </row>
    <row r="8" spans="1:13" s="343" customFormat="1" ht="34.5" customHeight="1" x14ac:dyDescent="0.25">
      <c r="A8" s="880"/>
      <c r="B8" s="883" t="s">
        <v>431</v>
      </c>
      <c r="C8" s="884"/>
      <c r="D8" s="881" t="s">
        <v>432</v>
      </c>
      <c r="E8" s="885"/>
      <c r="F8" s="883" t="s">
        <v>443</v>
      </c>
      <c r="G8" s="884"/>
      <c r="H8" s="883" t="s">
        <v>431</v>
      </c>
      <c r="I8" s="884"/>
      <c r="J8" s="881" t="s">
        <v>432</v>
      </c>
      <c r="K8" s="885"/>
      <c r="L8" s="883" t="s">
        <v>443</v>
      </c>
      <c r="M8" s="884"/>
    </row>
    <row r="9" spans="1:13" s="343" customFormat="1" ht="34.5" customHeight="1" x14ac:dyDescent="0.25">
      <c r="A9" s="880"/>
      <c r="B9" s="803" t="s">
        <v>434</v>
      </c>
      <c r="C9" s="803" t="s">
        <v>60</v>
      </c>
      <c r="D9" s="803" t="s">
        <v>435</v>
      </c>
      <c r="E9" s="803" t="s">
        <v>305</v>
      </c>
      <c r="F9" s="803" t="s">
        <v>435</v>
      </c>
      <c r="G9" s="803" t="s">
        <v>60</v>
      </c>
      <c r="H9" s="803" t="s">
        <v>434</v>
      </c>
      <c r="I9" s="816" t="s">
        <v>60</v>
      </c>
      <c r="J9" s="803" t="s">
        <v>435</v>
      </c>
      <c r="K9" s="803" t="s">
        <v>305</v>
      </c>
      <c r="L9" s="803" t="s">
        <v>435</v>
      </c>
      <c r="M9" s="803" t="s">
        <v>60</v>
      </c>
    </row>
    <row r="10" spans="1:13" s="48" customFormat="1" x14ac:dyDescent="0.25">
      <c r="A10" s="800" t="s">
        <v>14</v>
      </c>
      <c r="B10" s="805">
        <v>291365</v>
      </c>
      <c r="C10" s="806">
        <v>4370835000</v>
      </c>
      <c r="D10" s="805">
        <v>289127</v>
      </c>
      <c r="E10" s="806">
        <v>638137500</v>
      </c>
      <c r="F10" s="805">
        <v>294833</v>
      </c>
      <c r="G10" s="806">
        <v>4128128066</v>
      </c>
      <c r="H10" s="805">
        <v>28034</v>
      </c>
      <c r="I10" s="801">
        <v>280340000</v>
      </c>
      <c r="J10" s="805">
        <v>4386</v>
      </c>
      <c r="K10" s="801">
        <v>25567500</v>
      </c>
      <c r="L10" s="805">
        <v>31378</v>
      </c>
      <c r="M10" s="806">
        <v>313780000</v>
      </c>
    </row>
    <row r="11" spans="1:13" s="48" customFormat="1" x14ac:dyDescent="0.25">
      <c r="A11" s="807" t="s">
        <v>294</v>
      </c>
      <c r="B11" s="808">
        <v>8265</v>
      </c>
      <c r="C11" s="809">
        <v>123975000</v>
      </c>
      <c r="D11" s="808">
        <v>8231</v>
      </c>
      <c r="E11" s="809">
        <v>20178500</v>
      </c>
      <c r="F11" s="808">
        <v>8680</v>
      </c>
      <c r="G11" s="809">
        <v>130200000</v>
      </c>
      <c r="H11" s="808">
        <v>1016</v>
      </c>
      <c r="I11" s="809">
        <v>10160000</v>
      </c>
      <c r="J11" s="808">
        <v>116</v>
      </c>
      <c r="K11" s="809">
        <v>600000</v>
      </c>
      <c r="L11" s="808">
        <v>1255</v>
      </c>
      <c r="M11" s="809">
        <v>12551200</v>
      </c>
    </row>
    <row r="12" spans="1:13" x14ac:dyDescent="0.25">
      <c r="A12" s="810" t="s">
        <v>295</v>
      </c>
      <c r="B12" s="811">
        <v>16108</v>
      </c>
      <c r="C12" s="812">
        <v>241980000</v>
      </c>
      <c r="D12" s="811">
        <v>17723</v>
      </c>
      <c r="E12" s="812">
        <v>39599400</v>
      </c>
      <c r="F12" s="811">
        <v>16220</v>
      </c>
      <c r="G12" s="812">
        <v>243300000</v>
      </c>
      <c r="H12" s="811">
        <v>1241</v>
      </c>
      <c r="I12" s="812">
        <v>12410000</v>
      </c>
      <c r="J12" s="811">
        <v>162</v>
      </c>
      <c r="K12" s="812">
        <v>800000</v>
      </c>
      <c r="L12" s="811">
        <v>1883</v>
      </c>
      <c r="M12" s="812">
        <v>18826800</v>
      </c>
    </row>
    <row r="13" spans="1:13" x14ac:dyDescent="0.25">
      <c r="A13" s="813" t="s">
        <v>278</v>
      </c>
      <c r="B13" s="614">
        <v>9032</v>
      </c>
      <c r="C13" s="616">
        <v>135840000</v>
      </c>
      <c r="D13" s="614">
        <v>9657</v>
      </c>
      <c r="E13" s="616">
        <v>21628800</v>
      </c>
      <c r="F13" s="614">
        <v>9099</v>
      </c>
      <c r="G13" s="616">
        <v>136485000</v>
      </c>
      <c r="H13" s="614">
        <v>601</v>
      </c>
      <c r="I13" s="616">
        <v>6010000</v>
      </c>
      <c r="J13" s="614">
        <v>87</v>
      </c>
      <c r="K13" s="616">
        <v>425000</v>
      </c>
      <c r="L13" s="614">
        <v>659</v>
      </c>
      <c r="M13" s="616">
        <v>6589380</v>
      </c>
    </row>
    <row r="14" spans="1:13" x14ac:dyDescent="0.25">
      <c r="A14" s="813" t="s">
        <v>397</v>
      </c>
      <c r="B14" s="614">
        <v>7076</v>
      </c>
      <c r="C14" s="616">
        <v>106140000</v>
      </c>
      <c r="D14" s="614">
        <v>8066</v>
      </c>
      <c r="E14" s="616">
        <v>17970600</v>
      </c>
      <c r="F14" s="614">
        <v>7121</v>
      </c>
      <c r="G14" s="616">
        <v>106815000</v>
      </c>
      <c r="H14" s="614">
        <v>640</v>
      </c>
      <c r="I14" s="616">
        <v>6400000</v>
      </c>
      <c r="J14" s="614">
        <v>75</v>
      </c>
      <c r="K14" s="616">
        <v>375000</v>
      </c>
      <c r="L14" s="614">
        <v>1224</v>
      </c>
      <c r="M14" s="616">
        <v>12237420</v>
      </c>
    </row>
    <row r="15" spans="1:13" s="48" customFormat="1" x14ac:dyDescent="0.25">
      <c r="A15" s="807" t="s">
        <v>296</v>
      </c>
      <c r="B15" s="808">
        <v>67678</v>
      </c>
      <c r="C15" s="809">
        <v>1015170000</v>
      </c>
      <c r="D15" s="808">
        <v>69012</v>
      </c>
      <c r="E15" s="809">
        <v>150907400</v>
      </c>
      <c r="F15" s="808">
        <v>67678</v>
      </c>
      <c r="G15" s="809">
        <v>1015170000</v>
      </c>
      <c r="H15" s="808">
        <v>6682</v>
      </c>
      <c r="I15" s="809">
        <v>66820000</v>
      </c>
      <c r="J15" s="808">
        <v>919</v>
      </c>
      <c r="K15" s="809">
        <v>6925000</v>
      </c>
      <c r="L15" s="808">
        <v>7217</v>
      </c>
      <c r="M15" s="809">
        <v>72169400</v>
      </c>
    </row>
    <row r="16" spans="1:13" x14ac:dyDescent="0.25">
      <c r="A16" s="813" t="s">
        <v>278</v>
      </c>
      <c r="B16" s="614">
        <v>12900</v>
      </c>
      <c r="C16" s="616">
        <v>193500000</v>
      </c>
      <c r="D16" s="614">
        <v>14294</v>
      </c>
      <c r="E16" s="616">
        <v>30950700</v>
      </c>
      <c r="F16" s="614">
        <v>12900</v>
      </c>
      <c r="G16" s="616">
        <v>193500000</v>
      </c>
      <c r="H16" s="614">
        <v>2009</v>
      </c>
      <c r="I16" s="616">
        <v>20090000</v>
      </c>
      <c r="J16" s="614">
        <v>66</v>
      </c>
      <c r="K16" s="616">
        <v>380000</v>
      </c>
      <c r="L16" s="614">
        <v>2165</v>
      </c>
      <c r="M16" s="616">
        <v>21650820</v>
      </c>
    </row>
    <row r="17" spans="1:13" x14ac:dyDescent="0.25">
      <c r="A17" s="813" t="s">
        <v>397</v>
      </c>
      <c r="B17" s="614">
        <v>11742</v>
      </c>
      <c r="C17" s="616">
        <v>176130000</v>
      </c>
      <c r="D17" s="614">
        <v>12133</v>
      </c>
      <c r="E17" s="616">
        <v>26754300</v>
      </c>
      <c r="F17" s="614">
        <v>11742</v>
      </c>
      <c r="G17" s="616">
        <v>176130000</v>
      </c>
      <c r="H17" s="614">
        <v>640</v>
      </c>
      <c r="I17" s="616">
        <v>6400000</v>
      </c>
      <c r="J17" s="614">
        <v>75</v>
      </c>
      <c r="K17" s="616">
        <v>375000</v>
      </c>
      <c r="L17" s="614">
        <v>722</v>
      </c>
      <c r="M17" s="616">
        <v>7216940</v>
      </c>
    </row>
    <row r="18" spans="1:13" x14ac:dyDescent="0.25">
      <c r="A18" s="813" t="s">
        <v>406</v>
      </c>
      <c r="B18" s="614">
        <v>17020</v>
      </c>
      <c r="C18" s="616">
        <v>255300000</v>
      </c>
      <c r="D18" s="614">
        <v>16827</v>
      </c>
      <c r="E18" s="616">
        <v>36442300</v>
      </c>
      <c r="F18" s="614">
        <v>17020</v>
      </c>
      <c r="G18" s="616">
        <v>255300000</v>
      </c>
      <c r="H18" s="614">
        <v>2155</v>
      </c>
      <c r="I18" s="616">
        <v>21550000</v>
      </c>
      <c r="J18" s="614">
        <v>416</v>
      </c>
      <c r="K18" s="616">
        <v>4140000</v>
      </c>
      <c r="L18" s="614">
        <v>2309</v>
      </c>
      <c r="M18" s="616">
        <v>23094208</v>
      </c>
    </row>
    <row r="19" spans="1:13" x14ac:dyDescent="0.25">
      <c r="A19" s="813" t="s">
        <v>399</v>
      </c>
      <c r="B19" s="614">
        <v>11354</v>
      </c>
      <c r="C19" s="616">
        <v>170310000</v>
      </c>
      <c r="D19" s="614">
        <v>11444</v>
      </c>
      <c r="E19" s="616">
        <v>25035700</v>
      </c>
      <c r="F19" s="614">
        <v>11354</v>
      </c>
      <c r="G19" s="616">
        <v>170310000</v>
      </c>
      <c r="H19" s="614">
        <v>660</v>
      </c>
      <c r="I19" s="616">
        <v>6600000</v>
      </c>
      <c r="J19" s="614">
        <v>168</v>
      </c>
      <c r="K19" s="616">
        <v>1060000</v>
      </c>
      <c r="L19" s="614">
        <v>722</v>
      </c>
      <c r="M19" s="616">
        <v>7216940</v>
      </c>
    </row>
    <row r="20" spans="1:13" x14ac:dyDescent="0.25">
      <c r="A20" s="813" t="s">
        <v>408</v>
      </c>
      <c r="B20" s="614">
        <v>14662</v>
      </c>
      <c r="C20" s="616">
        <v>219930000</v>
      </c>
      <c r="D20" s="614">
        <v>14314</v>
      </c>
      <c r="E20" s="616">
        <v>31724400</v>
      </c>
      <c r="F20" s="614">
        <v>14662</v>
      </c>
      <c r="G20" s="616">
        <v>219930000</v>
      </c>
      <c r="H20" s="614">
        <v>1218</v>
      </c>
      <c r="I20" s="616">
        <v>12180000</v>
      </c>
      <c r="J20" s="614">
        <v>194</v>
      </c>
      <c r="K20" s="616">
        <v>970000</v>
      </c>
      <c r="L20" s="614">
        <v>1299</v>
      </c>
      <c r="M20" s="616">
        <v>12990492</v>
      </c>
    </row>
    <row r="21" spans="1:13" s="48" customFormat="1" x14ac:dyDescent="0.25">
      <c r="A21" s="807" t="s">
        <v>297</v>
      </c>
      <c r="B21" s="808">
        <v>88876</v>
      </c>
      <c r="C21" s="809">
        <v>1333140000</v>
      </c>
      <c r="D21" s="808">
        <v>85795</v>
      </c>
      <c r="E21" s="809">
        <v>180478300</v>
      </c>
      <c r="F21" s="808">
        <v>89281</v>
      </c>
      <c r="G21" s="809">
        <v>1044848066</v>
      </c>
      <c r="H21" s="808">
        <v>7693</v>
      </c>
      <c r="I21" s="809">
        <v>76930000</v>
      </c>
      <c r="J21" s="808">
        <v>1170</v>
      </c>
      <c r="K21" s="809">
        <v>6150000</v>
      </c>
      <c r="L21" s="808">
        <v>8472</v>
      </c>
      <c r="M21" s="809">
        <v>84720600</v>
      </c>
    </row>
    <row r="22" spans="1:13" x14ac:dyDescent="0.25">
      <c r="A22" s="813" t="s">
        <v>278</v>
      </c>
      <c r="B22" s="614">
        <v>30139</v>
      </c>
      <c r="C22" s="616">
        <v>452085000</v>
      </c>
      <c r="D22" s="614">
        <v>29022</v>
      </c>
      <c r="E22" s="616">
        <v>61318100</v>
      </c>
      <c r="F22" s="614">
        <v>30139</v>
      </c>
      <c r="G22" s="616">
        <v>452085000</v>
      </c>
      <c r="H22" s="614">
        <v>1190</v>
      </c>
      <c r="I22" s="616">
        <v>11900000</v>
      </c>
      <c r="J22" s="614">
        <v>110</v>
      </c>
      <c r="K22" s="616">
        <v>700000</v>
      </c>
      <c r="L22" s="614">
        <v>1356</v>
      </c>
      <c r="M22" s="616">
        <v>13555296</v>
      </c>
    </row>
    <row r="23" spans="1:13" x14ac:dyDescent="0.25">
      <c r="A23" s="813" t="s">
        <v>397</v>
      </c>
      <c r="B23" s="614">
        <v>21072</v>
      </c>
      <c r="C23" s="616">
        <v>316080000</v>
      </c>
      <c r="D23" s="614">
        <v>20466</v>
      </c>
      <c r="E23" s="616">
        <v>39132400</v>
      </c>
      <c r="F23" s="614">
        <v>21198</v>
      </c>
      <c r="G23" s="616">
        <v>317970000</v>
      </c>
      <c r="H23" s="614">
        <v>2003</v>
      </c>
      <c r="I23" s="616">
        <v>20030000</v>
      </c>
      <c r="J23" s="614">
        <v>25</v>
      </c>
      <c r="K23" s="616">
        <v>125000</v>
      </c>
      <c r="L23" s="614">
        <v>2203</v>
      </c>
      <c r="M23" s="616">
        <v>22027356</v>
      </c>
    </row>
    <row r="24" spans="1:13" x14ac:dyDescent="0.25">
      <c r="A24" s="813" t="s">
        <v>406</v>
      </c>
      <c r="B24" s="614">
        <v>19551</v>
      </c>
      <c r="C24" s="616">
        <v>293265000</v>
      </c>
      <c r="D24" s="614">
        <v>18730</v>
      </c>
      <c r="E24" s="616">
        <v>40914000</v>
      </c>
      <c r="F24" s="614">
        <v>19625</v>
      </c>
      <c r="G24" s="616">
        <v>294375000</v>
      </c>
      <c r="H24" s="614">
        <v>1860</v>
      </c>
      <c r="I24" s="616">
        <v>18600000</v>
      </c>
      <c r="J24" s="614">
        <v>440</v>
      </c>
      <c r="K24" s="616">
        <v>2350000</v>
      </c>
      <c r="L24" s="614">
        <v>2033</v>
      </c>
      <c r="M24" s="616">
        <v>20332944</v>
      </c>
    </row>
    <row r="25" spans="1:13" x14ac:dyDescent="0.25">
      <c r="A25" s="813" t="s">
        <v>399</v>
      </c>
      <c r="B25" s="614">
        <v>18114</v>
      </c>
      <c r="C25" s="616">
        <v>271710000</v>
      </c>
      <c r="D25" s="614">
        <v>17577</v>
      </c>
      <c r="E25" s="616">
        <v>39113800</v>
      </c>
      <c r="F25" s="614">
        <v>18319</v>
      </c>
      <c r="G25" s="616">
        <v>274785000</v>
      </c>
      <c r="H25" s="614">
        <v>2640</v>
      </c>
      <c r="I25" s="616">
        <v>26400000</v>
      </c>
      <c r="J25" s="614">
        <v>595</v>
      </c>
      <c r="K25" s="616">
        <v>2975000</v>
      </c>
      <c r="L25" s="614">
        <v>2880</v>
      </c>
      <c r="M25" s="616">
        <v>28805004</v>
      </c>
    </row>
    <row r="26" spans="1:13" s="48" customFormat="1" x14ac:dyDescent="0.25">
      <c r="A26" s="807" t="s">
        <v>298</v>
      </c>
      <c r="B26" s="808">
        <v>50457</v>
      </c>
      <c r="C26" s="809">
        <v>756855000</v>
      </c>
      <c r="D26" s="808">
        <v>52153</v>
      </c>
      <c r="E26" s="809">
        <v>119250000</v>
      </c>
      <c r="F26" s="808">
        <v>50982</v>
      </c>
      <c r="G26" s="809">
        <v>764730000</v>
      </c>
      <c r="H26" s="808">
        <v>5154</v>
      </c>
      <c r="I26" s="809">
        <v>51540000</v>
      </c>
      <c r="J26" s="808">
        <v>280</v>
      </c>
      <c r="K26" s="809">
        <v>1479000</v>
      </c>
      <c r="L26" s="808">
        <v>5648</v>
      </c>
      <c r="M26" s="809">
        <v>56480400</v>
      </c>
    </row>
    <row r="27" spans="1:13" x14ac:dyDescent="0.25">
      <c r="A27" s="813" t="s">
        <v>278</v>
      </c>
      <c r="B27" s="614">
        <v>7250</v>
      </c>
      <c r="C27" s="616">
        <v>108750000</v>
      </c>
      <c r="D27" s="614">
        <v>7381</v>
      </c>
      <c r="E27" s="616">
        <v>16677400</v>
      </c>
      <c r="F27" s="614">
        <v>7604</v>
      </c>
      <c r="G27" s="616">
        <v>114060000</v>
      </c>
      <c r="H27" s="614">
        <v>910</v>
      </c>
      <c r="I27" s="616">
        <v>9100000</v>
      </c>
      <c r="J27" s="614">
        <v>69</v>
      </c>
      <c r="K27" s="616">
        <v>345000</v>
      </c>
      <c r="L27" s="614">
        <v>1017</v>
      </c>
      <c r="M27" s="616">
        <v>10166472</v>
      </c>
    </row>
    <row r="28" spans="1:13" x14ac:dyDescent="0.25">
      <c r="A28" s="813" t="s">
        <v>397</v>
      </c>
      <c r="B28" s="614">
        <v>12900</v>
      </c>
      <c r="C28" s="616">
        <v>193500000</v>
      </c>
      <c r="D28" s="614">
        <v>13624</v>
      </c>
      <c r="E28" s="616">
        <v>30766900</v>
      </c>
      <c r="F28" s="614">
        <v>13071</v>
      </c>
      <c r="G28" s="616">
        <v>196065000</v>
      </c>
      <c r="H28" s="614">
        <v>1120</v>
      </c>
      <c r="I28" s="616">
        <v>11200000</v>
      </c>
      <c r="J28" s="614">
        <v>152</v>
      </c>
      <c r="K28" s="616">
        <v>839000</v>
      </c>
      <c r="L28" s="614">
        <v>1243</v>
      </c>
      <c r="M28" s="616">
        <v>12425688</v>
      </c>
    </row>
    <row r="29" spans="1:13" x14ac:dyDescent="0.25">
      <c r="A29" s="813" t="s">
        <v>406</v>
      </c>
      <c r="B29" s="614">
        <v>11749</v>
      </c>
      <c r="C29" s="616">
        <v>176235000</v>
      </c>
      <c r="D29" s="614">
        <v>12040</v>
      </c>
      <c r="E29" s="616">
        <v>27467300</v>
      </c>
      <c r="F29" s="614">
        <v>11749</v>
      </c>
      <c r="G29" s="616">
        <v>176235000</v>
      </c>
      <c r="H29" s="614">
        <v>1240</v>
      </c>
      <c r="I29" s="616">
        <v>12400000</v>
      </c>
      <c r="J29" s="614">
        <v>30</v>
      </c>
      <c r="K29" s="616">
        <v>150000</v>
      </c>
      <c r="L29" s="614">
        <v>1355</v>
      </c>
      <c r="M29" s="616">
        <v>13555296</v>
      </c>
    </row>
    <row r="30" spans="1:13" x14ac:dyDescent="0.25">
      <c r="A30" s="813" t="s">
        <v>399</v>
      </c>
      <c r="B30" s="614">
        <v>18558</v>
      </c>
      <c r="C30" s="616">
        <v>278370000</v>
      </c>
      <c r="D30" s="614">
        <v>19108</v>
      </c>
      <c r="E30" s="616">
        <v>44338400</v>
      </c>
      <c r="F30" s="614">
        <v>18558</v>
      </c>
      <c r="G30" s="616">
        <v>278370000</v>
      </c>
      <c r="H30" s="614">
        <v>1884</v>
      </c>
      <c r="I30" s="616">
        <v>18840000</v>
      </c>
      <c r="J30" s="614">
        <v>29</v>
      </c>
      <c r="K30" s="616">
        <v>145000</v>
      </c>
      <c r="L30" s="614">
        <v>2033</v>
      </c>
      <c r="M30" s="616">
        <v>20332944</v>
      </c>
    </row>
    <row r="31" spans="1:13" s="48" customFormat="1" x14ac:dyDescent="0.25">
      <c r="A31" s="807" t="s">
        <v>299</v>
      </c>
      <c r="B31" s="808">
        <v>40171</v>
      </c>
      <c r="C31" s="809">
        <v>602565000</v>
      </c>
      <c r="D31" s="808">
        <v>37003</v>
      </c>
      <c r="E31" s="809">
        <v>84972700</v>
      </c>
      <c r="F31" s="808">
        <v>40179</v>
      </c>
      <c r="G31" s="809">
        <v>602685000</v>
      </c>
      <c r="H31" s="808">
        <v>4132</v>
      </c>
      <c r="I31" s="809">
        <v>41320000</v>
      </c>
      <c r="J31" s="808">
        <v>1013</v>
      </c>
      <c r="K31" s="809">
        <v>5190000</v>
      </c>
      <c r="L31" s="808">
        <v>4393</v>
      </c>
      <c r="M31" s="809">
        <v>43929200</v>
      </c>
    </row>
    <row r="32" spans="1:13" x14ac:dyDescent="0.25">
      <c r="A32" s="813" t="s">
        <v>278</v>
      </c>
      <c r="B32" s="614">
        <v>12586</v>
      </c>
      <c r="C32" s="616">
        <v>188790000</v>
      </c>
      <c r="D32" s="614">
        <v>12388</v>
      </c>
      <c r="E32" s="616">
        <v>27887700</v>
      </c>
      <c r="F32" s="614">
        <v>12586</v>
      </c>
      <c r="G32" s="616">
        <v>188790000</v>
      </c>
      <c r="H32" s="614">
        <v>1558</v>
      </c>
      <c r="I32" s="616">
        <v>15580000</v>
      </c>
      <c r="J32" s="614">
        <v>253</v>
      </c>
      <c r="K32" s="616">
        <v>1305000</v>
      </c>
      <c r="L32" s="614">
        <v>1669</v>
      </c>
      <c r="M32" s="616">
        <v>16693096</v>
      </c>
    </row>
    <row r="33" spans="1:13" x14ac:dyDescent="0.25">
      <c r="A33" s="813" t="s">
        <v>397</v>
      </c>
      <c r="B33" s="614">
        <v>15811</v>
      </c>
      <c r="C33" s="616">
        <v>237165000</v>
      </c>
      <c r="D33" s="614">
        <v>12853</v>
      </c>
      <c r="E33" s="616">
        <v>28330300</v>
      </c>
      <c r="F33" s="614">
        <v>15819</v>
      </c>
      <c r="G33" s="616">
        <v>237285000</v>
      </c>
      <c r="H33" s="614">
        <v>1994</v>
      </c>
      <c r="I33" s="616">
        <v>19940000</v>
      </c>
      <c r="J33" s="614">
        <v>24</v>
      </c>
      <c r="K33" s="616">
        <v>240000</v>
      </c>
      <c r="L33" s="614">
        <v>2109</v>
      </c>
      <c r="M33" s="616">
        <v>21086016</v>
      </c>
    </row>
    <row r="34" spans="1:13" x14ac:dyDescent="0.25">
      <c r="A34" s="813" t="s">
        <v>406</v>
      </c>
      <c r="B34" s="614">
        <v>11774</v>
      </c>
      <c r="C34" s="616">
        <v>176610000</v>
      </c>
      <c r="D34" s="614">
        <v>11762</v>
      </c>
      <c r="E34" s="616">
        <v>28754700</v>
      </c>
      <c r="F34" s="614">
        <v>11774</v>
      </c>
      <c r="G34" s="616">
        <v>176610000</v>
      </c>
      <c r="H34" s="614">
        <v>580</v>
      </c>
      <c r="I34" s="616">
        <v>5800000</v>
      </c>
      <c r="J34" s="614">
        <v>736</v>
      </c>
      <c r="K34" s="616">
        <v>3645000</v>
      </c>
      <c r="L34" s="614">
        <v>615</v>
      </c>
      <c r="M34" s="616">
        <v>6150088</v>
      </c>
    </row>
    <row r="35" spans="1:13" s="48" customFormat="1" x14ac:dyDescent="0.25">
      <c r="A35" s="807" t="s">
        <v>300</v>
      </c>
      <c r="B35" s="808">
        <v>19810</v>
      </c>
      <c r="C35" s="809">
        <v>297150000</v>
      </c>
      <c r="D35" s="808">
        <v>19210</v>
      </c>
      <c r="E35" s="809">
        <v>42751200</v>
      </c>
      <c r="F35" s="808">
        <v>21813</v>
      </c>
      <c r="G35" s="809">
        <v>327195000</v>
      </c>
      <c r="H35" s="808">
        <v>2116</v>
      </c>
      <c r="I35" s="809">
        <v>21160000</v>
      </c>
      <c r="J35" s="808">
        <v>726</v>
      </c>
      <c r="K35" s="809">
        <v>4423500</v>
      </c>
      <c r="L35" s="808">
        <v>2510</v>
      </c>
      <c r="M35" s="809">
        <v>25102400</v>
      </c>
    </row>
    <row r="36" spans="1:13" x14ac:dyDescent="0.25">
      <c r="A36" s="813" t="s">
        <v>278</v>
      </c>
      <c r="B36" s="614">
        <v>6924</v>
      </c>
      <c r="C36" s="616">
        <v>103860000</v>
      </c>
      <c r="D36" s="614">
        <v>6612</v>
      </c>
      <c r="E36" s="616">
        <v>14350900</v>
      </c>
      <c r="F36" s="614">
        <v>7240</v>
      </c>
      <c r="G36" s="616">
        <v>108600000</v>
      </c>
      <c r="H36" s="614">
        <v>786</v>
      </c>
      <c r="I36" s="616">
        <v>7860000</v>
      </c>
      <c r="J36" s="614">
        <v>87</v>
      </c>
      <c r="K36" s="616">
        <v>844500</v>
      </c>
      <c r="L36" s="614">
        <v>929</v>
      </c>
      <c r="M36" s="616">
        <v>9287888</v>
      </c>
    </row>
    <row r="37" spans="1:13" x14ac:dyDescent="0.25">
      <c r="A37" s="813" t="s">
        <v>397</v>
      </c>
      <c r="B37" s="614">
        <v>12886</v>
      </c>
      <c r="C37" s="616">
        <v>193290000</v>
      </c>
      <c r="D37" s="614">
        <v>12598</v>
      </c>
      <c r="E37" s="616">
        <v>28400300</v>
      </c>
      <c r="F37" s="614">
        <v>14573</v>
      </c>
      <c r="G37" s="616">
        <v>218595000</v>
      </c>
      <c r="H37" s="614">
        <v>1330</v>
      </c>
      <c r="I37" s="616">
        <v>13300000</v>
      </c>
      <c r="J37" s="614">
        <v>639</v>
      </c>
      <c r="K37" s="616">
        <v>3579000</v>
      </c>
      <c r="L37" s="614">
        <v>1581</v>
      </c>
      <c r="M37" s="616">
        <v>15814512</v>
      </c>
    </row>
    <row r="38" spans="1:13" x14ac:dyDescent="0.25">
      <c r="A38" s="880" t="s">
        <v>426</v>
      </c>
      <c r="B38" s="881" t="s">
        <v>429</v>
      </c>
      <c r="C38" s="882"/>
      <c r="D38" s="882"/>
      <c r="E38" s="882"/>
      <c r="F38" s="882"/>
      <c r="G38" s="885"/>
      <c r="H38" s="883" t="s">
        <v>436</v>
      </c>
      <c r="I38" s="886"/>
      <c r="J38" s="886"/>
      <c r="K38" s="886"/>
      <c r="L38" s="886"/>
      <c r="M38" s="886"/>
    </row>
    <row r="39" spans="1:13" x14ac:dyDescent="0.25">
      <c r="A39" s="880"/>
      <c r="B39" s="883" t="s">
        <v>431</v>
      </c>
      <c r="C39" s="884"/>
      <c r="D39" s="881" t="s">
        <v>432</v>
      </c>
      <c r="E39" s="885"/>
      <c r="F39" s="883" t="s">
        <v>433</v>
      </c>
      <c r="G39" s="884"/>
      <c r="H39" s="883" t="s">
        <v>431</v>
      </c>
      <c r="I39" s="884"/>
      <c r="J39" s="881" t="s">
        <v>432</v>
      </c>
      <c r="K39" s="885"/>
      <c r="L39" s="883" t="s">
        <v>433</v>
      </c>
      <c r="M39" s="884"/>
    </row>
    <row r="40" spans="1:13" x14ac:dyDescent="0.25">
      <c r="A40" s="880"/>
      <c r="B40" s="803" t="s">
        <v>434</v>
      </c>
      <c r="C40" s="816" t="s">
        <v>60</v>
      </c>
      <c r="D40" s="803" t="s">
        <v>435</v>
      </c>
      <c r="E40" s="803" t="s">
        <v>305</v>
      </c>
      <c r="F40" s="803" t="s">
        <v>435</v>
      </c>
      <c r="G40" s="803" t="s">
        <v>60</v>
      </c>
      <c r="H40" s="803" t="s">
        <v>434</v>
      </c>
      <c r="I40" s="816" t="s">
        <v>60</v>
      </c>
      <c r="J40" s="803" t="s">
        <v>435</v>
      </c>
      <c r="K40" s="816" t="s">
        <v>305</v>
      </c>
      <c r="L40" s="803" t="s">
        <v>435</v>
      </c>
      <c r="M40" s="803" t="s">
        <v>60</v>
      </c>
    </row>
    <row r="41" spans="1:13" x14ac:dyDescent="0.25">
      <c r="A41" s="800" t="s">
        <v>14</v>
      </c>
      <c r="B41" s="805">
        <v>161700</v>
      </c>
      <c r="C41" s="801">
        <v>252252000</v>
      </c>
      <c r="D41" s="805">
        <v>0</v>
      </c>
      <c r="E41" s="801">
        <v>0</v>
      </c>
      <c r="F41" s="805">
        <v>161700</v>
      </c>
      <c r="G41" s="806">
        <v>291060000</v>
      </c>
      <c r="H41" s="805">
        <v>49778</v>
      </c>
      <c r="I41" s="801">
        <v>298668000</v>
      </c>
      <c r="J41" s="805">
        <v>0</v>
      </c>
      <c r="K41" s="801">
        <v>0</v>
      </c>
      <c r="L41" s="805">
        <v>62419</v>
      </c>
      <c r="M41" s="806">
        <v>374514000</v>
      </c>
    </row>
    <row r="42" spans="1:13" x14ac:dyDescent="0.25">
      <c r="A42" s="807" t="s">
        <v>294</v>
      </c>
      <c r="B42" s="808">
        <v>6175</v>
      </c>
      <c r="C42" s="809">
        <v>9633000</v>
      </c>
      <c r="D42" s="808">
        <v>0</v>
      </c>
      <c r="E42" s="809">
        <v>0</v>
      </c>
      <c r="F42" s="808">
        <v>6684</v>
      </c>
      <c r="G42" s="809">
        <v>12031200</v>
      </c>
      <c r="H42" s="808">
        <v>2386</v>
      </c>
      <c r="I42" s="809">
        <v>14316000</v>
      </c>
      <c r="J42" s="808">
        <v>0</v>
      </c>
      <c r="K42" s="809">
        <v>0</v>
      </c>
      <c r="L42" s="808">
        <v>3314</v>
      </c>
      <c r="M42" s="809">
        <v>19884000</v>
      </c>
    </row>
    <row r="43" spans="1:13" x14ac:dyDescent="0.25">
      <c r="A43" s="810" t="s">
        <v>295</v>
      </c>
      <c r="B43" s="811">
        <v>11875</v>
      </c>
      <c r="C43" s="812">
        <v>18525000</v>
      </c>
      <c r="D43" s="811">
        <v>0</v>
      </c>
      <c r="E43" s="812">
        <v>0</v>
      </c>
      <c r="F43" s="811">
        <v>12025</v>
      </c>
      <c r="G43" s="812">
        <v>21645000</v>
      </c>
      <c r="H43" s="811">
        <v>3890</v>
      </c>
      <c r="I43" s="812">
        <v>23340000</v>
      </c>
      <c r="J43" s="811">
        <v>0</v>
      </c>
      <c r="K43" s="812">
        <v>0</v>
      </c>
      <c r="L43" s="811">
        <v>5282</v>
      </c>
      <c r="M43" s="812">
        <v>31692000</v>
      </c>
    </row>
    <row r="44" spans="1:13" x14ac:dyDescent="0.25">
      <c r="A44" s="813" t="s">
        <v>278</v>
      </c>
      <c r="B44" s="614">
        <v>5875</v>
      </c>
      <c r="C44" s="616">
        <v>9165000</v>
      </c>
      <c r="D44" s="614">
        <v>0</v>
      </c>
      <c r="E44" s="616">
        <v>0</v>
      </c>
      <c r="F44" s="614">
        <v>5816</v>
      </c>
      <c r="G44" s="616">
        <v>10468800</v>
      </c>
      <c r="H44" s="614">
        <v>2021</v>
      </c>
      <c r="I44" s="616">
        <v>12126000</v>
      </c>
      <c r="J44" s="614">
        <v>0</v>
      </c>
      <c r="K44" s="616">
        <v>0</v>
      </c>
      <c r="L44" s="614">
        <v>2717</v>
      </c>
      <c r="M44" s="616">
        <v>16302000</v>
      </c>
    </row>
    <row r="45" spans="1:13" x14ac:dyDescent="0.25">
      <c r="A45" s="813" t="s">
        <v>397</v>
      </c>
      <c r="B45" s="614">
        <v>6000</v>
      </c>
      <c r="C45" s="616">
        <v>9360000</v>
      </c>
      <c r="D45" s="614">
        <v>0</v>
      </c>
      <c r="E45" s="616">
        <v>0</v>
      </c>
      <c r="F45" s="614">
        <v>6209</v>
      </c>
      <c r="G45" s="616">
        <v>11176200</v>
      </c>
      <c r="H45" s="614">
        <v>1869</v>
      </c>
      <c r="I45" s="616">
        <v>11214000</v>
      </c>
      <c r="J45" s="614">
        <v>0</v>
      </c>
      <c r="K45" s="616">
        <v>0</v>
      </c>
      <c r="L45" s="614">
        <v>2565</v>
      </c>
      <c r="M45" s="616">
        <v>15390000</v>
      </c>
    </row>
    <row r="46" spans="1:13" x14ac:dyDescent="0.25">
      <c r="A46" s="807" t="s">
        <v>296</v>
      </c>
      <c r="B46" s="808">
        <v>42700</v>
      </c>
      <c r="C46" s="809">
        <v>66612000</v>
      </c>
      <c r="D46" s="808">
        <v>0</v>
      </c>
      <c r="E46" s="809">
        <v>0</v>
      </c>
      <c r="F46" s="808">
        <v>39736</v>
      </c>
      <c r="G46" s="809">
        <v>71524800</v>
      </c>
      <c r="H46" s="808">
        <v>9707</v>
      </c>
      <c r="I46" s="809">
        <v>58242000</v>
      </c>
      <c r="J46" s="808">
        <v>0</v>
      </c>
      <c r="K46" s="809">
        <v>0</v>
      </c>
      <c r="L46" s="808">
        <v>11551</v>
      </c>
      <c r="M46" s="809">
        <v>69306000</v>
      </c>
    </row>
    <row r="47" spans="1:13" x14ac:dyDescent="0.25">
      <c r="A47" s="813" t="s">
        <v>278</v>
      </c>
      <c r="B47" s="614">
        <v>9000</v>
      </c>
      <c r="C47" s="616">
        <v>14040000</v>
      </c>
      <c r="D47" s="614">
        <v>0</v>
      </c>
      <c r="E47" s="616">
        <v>0</v>
      </c>
      <c r="F47" s="614">
        <v>9928</v>
      </c>
      <c r="G47" s="616">
        <v>17870400</v>
      </c>
      <c r="H47" s="614">
        <v>2178</v>
      </c>
      <c r="I47" s="616">
        <v>13068000</v>
      </c>
      <c r="J47" s="614">
        <v>0</v>
      </c>
      <c r="K47" s="616">
        <v>0</v>
      </c>
      <c r="L47" s="614">
        <v>2874</v>
      </c>
      <c r="M47" s="616">
        <v>17244000</v>
      </c>
    </row>
    <row r="48" spans="1:13" x14ac:dyDescent="0.25">
      <c r="A48" s="813" t="s">
        <v>397</v>
      </c>
      <c r="B48" s="614">
        <v>12134</v>
      </c>
      <c r="C48" s="616">
        <v>18929040</v>
      </c>
      <c r="D48" s="614">
        <v>0</v>
      </c>
      <c r="E48" s="616">
        <v>0</v>
      </c>
      <c r="F48" s="614">
        <v>12628</v>
      </c>
      <c r="G48" s="616">
        <v>22730400</v>
      </c>
      <c r="H48" s="614">
        <v>2446</v>
      </c>
      <c r="I48" s="616">
        <v>14676000</v>
      </c>
      <c r="J48" s="614">
        <v>0</v>
      </c>
      <c r="K48" s="616">
        <v>0</v>
      </c>
      <c r="L48" s="614">
        <v>3258</v>
      </c>
      <c r="M48" s="616">
        <v>19548000</v>
      </c>
    </row>
    <row r="49" spans="1:13" x14ac:dyDescent="0.25">
      <c r="A49" s="813" t="s">
        <v>406</v>
      </c>
      <c r="B49" s="614">
        <v>9600</v>
      </c>
      <c r="C49" s="616">
        <v>14976000</v>
      </c>
      <c r="D49" s="614">
        <v>0</v>
      </c>
      <c r="E49" s="616">
        <v>0</v>
      </c>
      <c r="F49" s="614">
        <v>10015</v>
      </c>
      <c r="G49" s="616">
        <v>18027000</v>
      </c>
      <c r="H49" s="614">
        <v>2258</v>
      </c>
      <c r="I49" s="616">
        <v>13548000</v>
      </c>
      <c r="J49" s="614">
        <v>0</v>
      </c>
      <c r="K49" s="616">
        <v>0</v>
      </c>
      <c r="L49" s="614">
        <v>2954</v>
      </c>
      <c r="M49" s="616">
        <v>17724000</v>
      </c>
    </row>
    <row r="50" spans="1:13" x14ac:dyDescent="0.25">
      <c r="A50" s="813" t="s">
        <v>399</v>
      </c>
      <c r="B50" s="614">
        <v>6866</v>
      </c>
      <c r="C50" s="616">
        <v>10710960</v>
      </c>
      <c r="D50" s="614">
        <v>0</v>
      </c>
      <c r="E50" s="616">
        <v>0</v>
      </c>
      <c r="F50" s="614">
        <v>7165</v>
      </c>
      <c r="G50" s="616">
        <v>12897000</v>
      </c>
      <c r="H50" s="614">
        <v>2258</v>
      </c>
      <c r="I50" s="616">
        <v>13548000</v>
      </c>
      <c r="J50" s="614">
        <v>0</v>
      </c>
      <c r="K50" s="616">
        <v>0</v>
      </c>
      <c r="L50" s="614">
        <v>1802</v>
      </c>
      <c r="M50" s="616">
        <v>10812000</v>
      </c>
    </row>
    <row r="51" spans="1:13" x14ac:dyDescent="0.25">
      <c r="A51" s="813" t="s">
        <v>408</v>
      </c>
      <c r="B51" s="614">
        <v>5100</v>
      </c>
      <c r="C51" s="616">
        <v>7956000</v>
      </c>
      <c r="D51" s="614">
        <v>0</v>
      </c>
      <c r="E51" s="616">
        <v>0</v>
      </c>
      <c r="F51" s="614"/>
      <c r="G51" s="616"/>
      <c r="H51" s="614">
        <v>567</v>
      </c>
      <c r="I51" s="616">
        <v>3402000</v>
      </c>
      <c r="J51" s="614">
        <v>0</v>
      </c>
      <c r="K51" s="616">
        <v>0</v>
      </c>
      <c r="L51" s="614">
        <v>663</v>
      </c>
      <c r="M51" s="616">
        <v>3978000</v>
      </c>
    </row>
    <row r="52" spans="1:13" x14ac:dyDescent="0.25">
      <c r="A52" s="807" t="s">
        <v>297</v>
      </c>
      <c r="B52" s="808">
        <v>35100</v>
      </c>
      <c r="C52" s="809">
        <v>54756000</v>
      </c>
      <c r="D52" s="808">
        <v>0</v>
      </c>
      <c r="E52" s="809">
        <v>0</v>
      </c>
      <c r="F52" s="808">
        <v>35185</v>
      </c>
      <c r="G52" s="809">
        <v>63333000</v>
      </c>
      <c r="H52" s="808">
        <v>13074</v>
      </c>
      <c r="I52" s="809">
        <v>78444000</v>
      </c>
      <c r="J52" s="808">
        <v>0</v>
      </c>
      <c r="K52" s="809">
        <v>0</v>
      </c>
      <c r="L52" s="808">
        <v>16787</v>
      </c>
      <c r="M52" s="809">
        <v>100722000</v>
      </c>
    </row>
    <row r="53" spans="1:13" x14ac:dyDescent="0.25">
      <c r="A53" s="813" t="s">
        <v>278</v>
      </c>
      <c r="B53" s="614">
        <v>8700</v>
      </c>
      <c r="C53" s="616">
        <v>13572000</v>
      </c>
      <c r="D53" s="614">
        <v>0</v>
      </c>
      <c r="E53" s="616">
        <v>0</v>
      </c>
      <c r="F53" s="614">
        <v>9157</v>
      </c>
      <c r="G53" s="616">
        <v>16482600</v>
      </c>
      <c r="H53" s="614">
        <v>3924</v>
      </c>
      <c r="I53" s="616">
        <v>23544000</v>
      </c>
      <c r="J53" s="614">
        <v>0</v>
      </c>
      <c r="K53" s="616">
        <v>0</v>
      </c>
      <c r="L53" s="614">
        <v>4969</v>
      </c>
      <c r="M53" s="616">
        <v>29814000</v>
      </c>
    </row>
    <row r="54" spans="1:13" x14ac:dyDescent="0.25">
      <c r="A54" s="813" t="s">
        <v>397</v>
      </c>
      <c r="B54" s="614">
        <v>9000</v>
      </c>
      <c r="C54" s="616">
        <v>14040000</v>
      </c>
      <c r="D54" s="614">
        <v>0</v>
      </c>
      <c r="E54" s="616">
        <v>0</v>
      </c>
      <c r="F54" s="614">
        <v>9637</v>
      </c>
      <c r="G54" s="616">
        <v>17346600</v>
      </c>
      <c r="H54" s="614">
        <v>3346</v>
      </c>
      <c r="I54" s="616">
        <v>20076000</v>
      </c>
      <c r="J54" s="614">
        <v>0</v>
      </c>
      <c r="K54" s="616">
        <v>0</v>
      </c>
      <c r="L54" s="614">
        <v>4274</v>
      </c>
      <c r="M54" s="616">
        <v>25644000</v>
      </c>
    </row>
    <row r="55" spans="1:13" x14ac:dyDescent="0.25">
      <c r="A55" s="813" t="s">
        <v>406</v>
      </c>
      <c r="B55" s="614">
        <v>10700</v>
      </c>
      <c r="C55" s="616">
        <v>16692000</v>
      </c>
      <c r="D55" s="614">
        <v>0</v>
      </c>
      <c r="E55" s="616">
        <v>0</v>
      </c>
      <c r="F55" s="614">
        <v>9703</v>
      </c>
      <c r="G55" s="616">
        <v>17465400</v>
      </c>
      <c r="H55" s="614">
        <v>2747</v>
      </c>
      <c r="I55" s="616">
        <v>16482000</v>
      </c>
      <c r="J55" s="614">
        <v>0</v>
      </c>
      <c r="K55" s="616">
        <v>0</v>
      </c>
      <c r="L55" s="614">
        <v>3559</v>
      </c>
      <c r="M55" s="616">
        <v>21354000</v>
      </c>
    </row>
    <row r="56" spans="1:13" x14ac:dyDescent="0.25">
      <c r="A56" s="813" t="s">
        <v>399</v>
      </c>
      <c r="B56" s="614">
        <v>6700</v>
      </c>
      <c r="C56" s="616">
        <v>10452000</v>
      </c>
      <c r="D56" s="614">
        <v>0</v>
      </c>
      <c r="E56" s="616">
        <v>0</v>
      </c>
      <c r="F56" s="614">
        <v>6688</v>
      </c>
      <c r="G56" s="616">
        <v>12038400</v>
      </c>
      <c r="H56" s="614">
        <v>3057</v>
      </c>
      <c r="I56" s="616">
        <v>18342000</v>
      </c>
      <c r="J56" s="614">
        <v>0</v>
      </c>
      <c r="K56" s="616">
        <v>0</v>
      </c>
      <c r="L56" s="614">
        <v>3985</v>
      </c>
      <c r="M56" s="616">
        <v>23910000</v>
      </c>
    </row>
    <row r="57" spans="1:13" x14ac:dyDescent="0.25">
      <c r="A57" s="807" t="s">
        <v>298</v>
      </c>
      <c r="B57" s="808">
        <v>30350</v>
      </c>
      <c r="C57" s="809">
        <v>47346000</v>
      </c>
      <c r="D57" s="808">
        <v>0</v>
      </c>
      <c r="E57" s="809">
        <v>0</v>
      </c>
      <c r="F57" s="808">
        <v>31027</v>
      </c>
      <c r="G57" s="809">
        <v>55848600</v>
      </c>
      <c r="H57" s="808">
        <v>8036</v>
      </c>
      <c r="I57" s="809">
        <v>48216000</v>
      </c>
      <c r="J57" s="808">
        <v>0</v>
      </c>
      <c r="K57" s="809">
        <v>0</v>
      </c>
      <c r="L57" s="808">
        <v>10591</v>
      </c>
      <c r="M57" s="809">
        <v>63546000</v>
      </c>
    </row>
    <row r="58" spans="1:13" x14ac:dyDescent="0.25">
      <c r="A58" s="813" t="s">
        <v>278</v>
      </c>
      <c r="B58" s="614">
        <v>5600</v>
      </c>
      <c r="C58" s="616">
        <v>8736000</v>
      </c>
      <c r="D58" s="614">
        <v>0</v>
      </c>
      <c r="E58" s="616">
        <v>0</v>
      </c>
      <c r="F58" s="614">
        <v>7548</v>
      </c>
      <c r="G58" s="616">
        <v>13586400</v>
      </c>
      <c r="H58" s="614">
        <v>1031</v>
      </c>
      <c r="I58" s="616">
        <v>6186000</v>
      </c>
      <c r="J58" s="614">
        <v>0</v>
      </c>
      <c r="K58" s="616">
        <v>0</v>
      </c>
      <c r="L58" s="614">
        <v>1380</v>
      </c>
      <c r="M58" s="616">
        <v>8280000</v>
      </c>
    </row>
    <row r="59" spans="1:13" x14ac:dyDescent="0.25">
      <c r="A59" s="813" t="s">
        <v>397</v>
      </c>
      <c r="B59" s="614">
        <v>9250</v>
      </c>
      <c r="C59" s="616">
        <v>14430000</v>
      </c>
      <c r="D59" s="614">
        <v>0</v>
      </c>
      <c r="E59" s="616">
        <v>0</v>
      </c>
      <c r="F59" s="614">
        <v>9888</v>
      </c>
      <c r="G59" s="616">
        <v>17798400</v>
      </c>
      <c r="H59" s="614">
        <v>2335</v>
      </c>
      <c r="I59" s="616">
        <v>14010000</v>
      </c>
      <c r="J59" s="614">
        <v>0</v>
      </c>
      <c r="K59" s="616">
        <v>0</v>
      </c>
      <c r="L59" s="614">
        <v>3031</v>
      </c>
      <c r="M59" s="616">
        <v>18186000</v>
      </c>
    </row>
    <row r="60" spans="1:13" x14ac:dyDescent="0.25">
      <c r="A60" s="813" t="s">
        <v>406</v>
      </c>
      <c r="B60" s="614">
        <v>9400</v>
      </c>
      <c r="C60" s="616">
        <v>14664000</v>
      </c>
      <c r="D60" s="614">
        <v>0</v>
      </c>
      <c r="E60" s="616">
        <v>0</v>
      </c>
      <c r="F60" s="614">
        <v>6975</v>
      </c>
      <c r="G60" s="616">
        <v>12555000</v>
      </c>
      <c r="H60" s="614">
        <v>1805</v>
      </c>
      <c r="I60" s="616">
        <v>10830000</v>
      </c>
      <c r="J60" s="614">
        <v>0</v>
      </c>
      <c r="K60" s="616">
        <v>0</v>
      </c>
      <c r="L60" s="614">
        <v>2386</v>
      </c>
      <c r="M60" s="616">
        <v>14316000</v>
      </c>
    </row>
    <row r="61" spans="1:13" x14ac:dyDescent="0.25">
      <c r="A61" s="813" t="s">
        <v>399</v>
      </c>
      <c r="B61" s="614">
        <v>6100</v>
      </c>
      <c r="C61" s="616">
        <v>9516000</v>
      </c>
      <c r="D61" s="614">
        <v>0</v>
      </c>
      <c r="E61" s="616">
        <v>0</v>
      </c>
      <c r="F61" s="614">
        <v>6616</v>
      </c>
      <c r="G61" s="616">
        <v>11908800</v>
      </c>
      <c r="H61" s="614">
        <v>2865</v>
      </c>
      <c r="I61" s="616">
        <v>17190000</v>
      </c>
      <c r="J61" s="614">
        <v>0</v>
      </c>
      <c r="K61" s="616">
        <v>0</v>
      </c>
      <c r="L61" s="614">
        <v>3794</v>
      </c>
      <c r="M61" s="616">
        <v>22764000</v>
      </c>
    </row>
    <row r="62" spans="1:13" x14ac:dyDescent="0.25">
      <c r="A62" s="807" t="s">
        <v>299</v>
      </c>
      <c r="B62" s="808">
        <v>25800</v>
      </c>
      <c r="C62" s="809">
        <v>40248000</v>
      </c>
      <c r="D62" s="808">
        <v>0</v>
      </c>
      <c r="E62" s="809">
        <v>0</v>
      </c>
      <c r="F62" s="808">
        <v>27168</v>
      </c>
      <c r="G62" s="809">
        <v>48902400</v>
      </c>
      <c r="H62" s="808">
        <v>8201</v>
      </c>
      <c r="I62" s="809">
        <v>49206000</v>
      </c>
      <c r="J62" s="808">
        <v>0</v>
      </c>
      <c r="K62" s="809">
        <v>0</v>
      </c>
      <c r="L62" s="808">
        <v>8779</v>
      </c>
      <c r="M62" s="809">
        <v>52674000</v>
      </c>
    </row>
    <row r="63" spans="1:13" x14ac:dyDescent="0.25">
      <c r="A63" s="813" t="s">
        <v>278</v>
      </c>
      <c r="B63" s="614">
        <v>9200</v>
      </c>
      <c r="C63" s="616">
        <v>14352000</v>
      </c>
      <c r="D63" s="614">
        <v>0</v>
      </c>
      <c r="E63" s="616">
        <v>0</v>
      </c>
      <c r="F63" s="614">
        <v>9577</v>
      </c>
      <c r="G63" s="616">
        <v>17238600</v>
      </c>
      <c r="H63" s="614">
        <v>3342</v>
      </c>
      <c r="I63" s="616">
        <v>20052000</v>
      </c>
      <c r="J63" s="614">
        <v>0</v>
      </c>
      <c r="K63" s="616">
        <v>0</v>
      </c>
      <c r="L63" s="614">
        <v>4503</v>
      </c>
      <c r="M63" s="616">
        <v>27018000</v>
      </c>
    </row>
    <row r="64" spans="1:13" x14ac:dyDescent="0.25">
      <c r="A64" s="813" t="s">
        <v>397</v>
      </c>
      <c r="B64" s="614">
        <v>9800</v>
      </c>
      <c r="C64" s="616">
        <v>15288000</v>
      </c>
      <c r="D64" s="614">
        <v>0</v>
      </c>
      <c r="E64" s="616">
        <v>0</v>
      </c>
      <c r="F64" s="614">
        <v>10039</v>
      </c>
      <c r="G64" s="616">
        <v>18070200</v>
      </c>
      <c r="H64" s="614">
        <v>3342</v>
      </c>
      <c r="I64" s="616">
        <v>20052000</v>
      </c>
      <c r="J64" s="614">
        <v>0</v>
      </c>
      <c r="K64" s="616">
        <v>0</v>
      </c>
      <c r="L64" s="614">
        <v>2294</v>
      </c>
      <c r="M64" s="616">
        <v>13764000</v>
      </c>
    </row>
    <row r="65" spans="1:13" x14ac:dyDescent="0.25">
      <c r="A65" s="813" t="s">
        <v>406</v>
      </c>
      <c r="B65" s="614">
        <v>6800</v>
      </c>
      <c r="C65" s="616">
        <v>10608000</v>
      </c>
      <c r="D65" s="614">
        <v>0</v>
      </c>
      <c r="E65" s="616">
        <v>0</v>
      </c>
      <c r="F65" s="614">
        <v>7552</v>
      </c>
      <c r="G65" s="616">
        <v>13593600</v>
      </c>
      <c r="H65" s="614">
        <v>1517</v>
      </c>
      <c r="I65" s="616">
        <v>9102000</v>
      </c>
      <c r="J65" s="614">
        <v>0</v>
      </c>
      <c r="K65" s="616">
        <v>0</v>
      </c>
      <c r="L65" s="614">
        <v>1982</v>
      </c>
      <c r="M65" s="616">
        <v>11892000</v>
      </c>
    </row>
    <row r="66" spans="1:13" x14ac:dyDescent="0.25">
      <c r="A66" s="807" t="s">
        <v>300</v>
      </c>
      <c r="B66" s="808">
        <v>9700</v>
      </c>
      <c r="C66" s="809">
        <v>15132000</v>
      </c>
      <c r="D66" s="808">
        <v>0</v>
      </c>
      <c r="E66" s="809">
        <v>0</v>
      </c>
      <c r="F66" s="808">
        <v>9875</v>
      </c>
      <c r="G66" s="809">
        <v>17775000</v>
      </c>
      <c r="H66" s="808">
        <v>4484</v>
      </c>
      <c r="I66" s="809">
        <v>26904000</v>
      </c>
      <c r="J66" s="808">
        <v>0</v>
      </c>
      <c r="K66" s="809">
        <v>0</v>
      </c>
      <c r="L66" s="808">
        <v>6115</v>
      </c>
      <c r="M66" s="809">
        <v>36690000</v>
      </c>
    </row>
    <row r="67" spans="1:13" x14ac:dyDescent="0.25">
      <c r="A67" s="813" t="s">
        <v>278</v>
      </c>
      <c r="B67" s="614">
        <v>3400</v>
      </c>
      <c r="C67" s="616">
        <v>5304000</v>
      </c>
      <c r="D67" s="614">
        <v>0</v>
      </c>
      <c r="E67" s="616">
        <v>0</v>
      </c>
      <c r="F67" s="614">
        <v>4057</v>
      </c>
      <c r="G67" s="616">
        <v>7302600</v>
      </c>
      <c r="H67" s="614">
        <v>1296</v>
      </c>
      <c r="I67" s="616">
        <v>7776000</v>
      </c>
      <c r="J67" s="614">
        <v>0</v>
      </c>
      <c r="K67" s="616">
        <v>0</v>
      </c>
      <c r="L67" s="614">
        <v>1766</v>
      </c>
      <c r="M67" s="616">
        <v>10596000</v>
      </c>
    </row>
    <row r="68" spans="1:13" x14ac:dyDescent="0.25">
      <c r="A68" s="813" t="s">
        <v>397</v>
      </c>
      <c r="B68" s="614">
        <v>6300</v>
      </c>
      <c r="C68" s="616">
        <v>9828000</v>
      </c>
      <c r="D68" s="614">
        <v>0</v>
      </c>
      <c r="E68" s="616">
        <v>0</v>
      </c>
      <c r="F68" s="614">
        <v>5818</v>
      </c>
      <c r="G68" s="616">
        <v>10472400</v>
      </c>
      <c r="H68" s="614">
        <v>3188</v>
      </c>
      <c r="I68" s="616">
        <v>19128000</v>
      </c>
      <c r="J68" s="614">
        <v>0</v>
      </c>
      <c r="K68" s="616">
        <v>0</v>
      </c>
      <c r="L68" s="614">
        <v>4349</v>
      </c>
      <c r="M68" s="616">
        <v>26094000</v>
      </c>
    </row>
    <row r="69" spans="1:13" ht="15" customHeight="1" x14ac:dyDescent="0.25">
      <c r="A69" s="880" t="s">
        <v>426</v>
      </c>
      <c r="B69" s="881" t="s">
        <v>430</v>
      </c>
      <c r="C69" s="882"/>
      <c r="D69" s="882"/>
      <c r="E69" s="882"/>
      <c r="F69" s="882"/>
      <c r="G69" s="882"/>
      <c r="H69" s="881" t="s">
        <v>440</v>
      </c>
      <c r="I69" s="882"/>
      <c r="J69" s="882"/>
      <c r="K69" s="882"/>
      <c r="L69" s="882"/>
      <c r="M69" s="882"/>
    </row>
    <row r="70" spans="1:13" ht="15" customHeight="1" x14ac:dyDescent="0.25">
      <c r="A70" s="880"/>
      <c r="B70" s="883" t="s">
        <v>431</v>
      </c>
      <c r="C70" s="884"/>
      <c r="D70" s="881" t="s">
        <v>432</v>
      </c>
      <c r="E70" s="885"/>
      <c r="F70" s="883" t="s">
        <v>433</v>
      </c>
      <c r="G70" s="884"/>
      <c r="H70" s="883" t="s">
        <v>431</v>
      </c>
      <c r="I70" s="884"/>
      <c r="J70" s="881" t="s">
        <v>432</v>
      </c>
      <c r="K70" s="885"/>
      <c r="L70" s="883" t="s">
        <v>443</v>
      </c>
      <c r="M70" s="884"/>
    </row>
    <row r="71" spans="1:13" ht="45" x14ac:dyDescent="0.25">
      <c r="A71" s="880"/>
      <c r="B71" s="802" t="s">
        <v>253</v>
      </c>
      <c r="C71" s="816" t="s">
        <v>60</v>
      </c>
      <c r="D71" s="802" t="s">
        <v>253</v>
      </c>
      <c r="E71" s="803" t="s">
        <v>305</v>
      </c>
      <c r="F71" s="802" t="s">
        <v>253</v>
      </c>
      <c r="G71" s="803" t="s">
        <v>60</v>
      </c>
      <c r="H71" s="802" t="s">
        <v>434</v>
      </c>
      <c r="I71" s="816" t="s">
        <v>60</v>
      </c>
      <c r="J71" s="802" t="s">
        <v>253</v>
      </c>
      <c r="K71" s="816" t="s">
        <v>305</v>
      </c>
      <c r="L71" s="802" t="s">
        <v>253</v>
      </c>
      <c r="M71" s="803" t="s">
        <v>60</v>
      </c>
    </row>
    <row r="72" spans="1:13" x14ac:dyDescent="0.25">
      <c r="A72" s="800" t="s">
        <v>14</v>
      </c>
      <c r="B72" s="805">
        <v>257</v>
      </c>
      <c r="C72" s="801">
        <v>344674004.31</v>
      </c>
      <c r="D72" s="805">
        <v>0</v>
      </c>
      <c r="E72" s="801">
        <v>0</v>
      </c>
      <c r="F72" s="805">
        <v>249</v>
      </c>
      <c r="G72" s="806">
        <v>220067563.22</v>
      </c>
      <c r="H72" s="805">
        <v>0</v>
      </c>
      <c r="I72" s="801">
        <v>177558500</v>
      </c>
      <c r="J72" s="805">
        <v>18173</v>
      </c>
      <c r="K72" s="801">
        <v>55695184.049999997</v>
      </c>
      <c r="L72" s="805">
        <v>0</v>
      </c>
      <c r="M72" s="806">
        <v>0</v>
      </c>
    </row>
    <row r="73" spans="1:13" x14ac:dyDescent="0.25">
      <c r="A73" s="807" t="s">
        <v>294</v>
      </c>
      <c r="B73" s="808">
        <v>23</v>
      </c>
      <c r="C73" s="809">
        <v>18954150</v>
      </c>
      <c r="D73" s="808">
        <v>0</v>
      </c>
      <c r="E73" s="809">
        <v>0</v>
      </c>
      <c r="F73" s="808">
        <v>20</v>
      </c>
      <c r="G73" s="809">
        <v>12532085</v>
      </c>
      <c r="H73" s="808"/>
      <c r="I73" s="809">
        <v>1940000</v>
      </c>
      <c r="J73" s="808">
        <v>1074</v>
      </c>
      <c r="K73" s="809">
        <v>3445000</v>
      </c>
      <c r="L73" s="808"/>
      <c r="M73" s="809"/>
    </row>
    <row r="74" spans="1:13" x14ac:dyDescent="0.25">
      <c r="A74" s="810" t="s">
        <v>295</v>
      </c>
      <c r="B74" s="811">
        <v>30</v>
      </c>
      <c r="C74" s="812">
        <v>36678511</v>
      </c>
      <c r="D74" s="811">
        <v>0</v>
      </c>
      <c r="E74" s="812">
        <v>0</v>
      </c>
      <c r="F74" s="811">
        <v>22</v>
      </c>
      <c r="G74" s="812">
        <v>21989200</v>
      </c>
      <c r="H74" s="811">
        <v>0</v>
      </c>
      <c r="I74" s="812">
        <v>6790000</v>
      </c>
      <c r="J74" s="811">
        <v>1910</v>
      </c>
      <c r="K74" s="812">
        <v>7971500</v>
      </c>
      <c r="L74" s="811">
        <v>0</v>
      </c>
      <c r="M74" s="812">
        <v>0</v>
      </c>
    </row>
    <row r="75" spans="1:13" x14ac:dyDescent="0.25">
      <c r="A75" s="813" t="s">
        <v>278</v>
      </c>
      <c r="B75" s="614">
        <v>15</v>
      </c>
      <c r="C75" s="616">
        <v>21205280</v>
      </c>
      <c r="D75" s="614">
        <v>0</v>
      </c>
      <c r="E75" s="616">
        <v>0</v>
      </c>
      <c r="F75" s="614">
        <v>9</v>
      </c>
      <c r="G75" s="616">
        <v>10450000</v>
      </c>
      <c r="H75" s="614"/>
      <c r="I75" s="616">
        <v>6790000</v>
      </c>
      <c r="J75" s="614">
        <v>1120</v>
      </c>
      <c r="K75" s="616">
        <v>4625000</v>
      </c>
      <c r="L75" s="614"/>
      <c r="M75" s="616"/>
    </row>
    <row r="76" spans="1:13" x14ac:dyDescent="0.25">
      <c r="A76" s="813" t="s">
        <v>397</v>
      </c>
      <c r="B76" s="614">
        <v>15</v>
      </c>
      <c r="C76" s="616">
        <v>15473231</v>
      </c>
      <c r="D76" s="614">
        <v>0</v>
      </c>
      <c r="E76" s="616">
        <v>0</v>
      </c>
      <c r="F76" s="614">
        <v>13</v>
      </c>
      <c r="G76" s="616">
        <v>11539200</v>
      </c>
      <c r="H76" s="614"/>
      <c r="I76" s="616"/>
      <c r="J76" s="614">
        <v>790</v>
      </c>
      <c r="K76" s="616">
        <v>3346500</v>
      </c>
      <c r="L76" s="614"/>
      <c r="M76" s="616"/>
    </row>
    <row r="77" spans="1:13" x14ac:dyDescent="0.25">
      <c r="A77" s="807" t="s">
        <v>296</v>
      </c>
      <c r="B77" s="808">
        <v>51</v>
      </c>
      <c r="C77" s="809">
        <v>85342285.700000003</v>
      </c>
      <c r="D77" s="808">
        <v>0</v>
      </c>
      <c r="E77" s="809">
        <v>0</v>
      </c>
      <c r="F77" s="808">
        <v>71</v>
      </c>
      <c r="G77" s="809">
        <v>63021025</v>
      </c>
      <c r="H77" s="808">
        <v>0</v>
      </c>
      <c r="I77" s="809">
        <v>49955000</v>
      </c>
      <c r="J77" s="808">
        <v>5191</v>
      </c>
      <c r="K77" s="809">
        <v>17179000</v>
      </c>
      <c r="L77" s="808">
        <v>0</v>
      </c>
      <c r="M77" s="809">
        <v>0</v>
      </c>
    </row>
    <row r="78" spans="1:13" x14ac:dyDescent="0.25">
      <c r="A78" s="813" t="s">
        <v>278</v>
      </c>
      <c r="B78" s="614">
        <v>12</v>
      </c>
      <c r="C78" s="616">
        <v>19434285.699999999</v>
      </c>
      <c r="D78" s="614">
        <v>0</v>
      </c>
      <c r="E78" s="616">
        <v>0</v>
      </c>
      <c r="F78" s="614">
        <v>31</v>
      </c>
      <c r="G78" s="616">
        <v>16756640</v>
      </c>
      <c r="H78" s="614"/>
      <c r="I78" s="616">
        <v>9700000</v>
      </c>
      <c r="J78" s="614">
        <v>1007</v>
      </c>
      <c r="K78" s="616">
        <v>3659500</v>
      </c>
      <c r="L78" s="614"/>
      <c r="M78" s="616"/>
    </row>
    <row r="79" spans="1:13" x14ac:dyDescent="0.25">
      <c r="A79" s="813" t="s">
        <v>397</v>
      </c>
      <c r="B79" s="614">
        <v>18</v>
      </c>
      <c r="C79" s="616">
        <v>25833600</v>
      </c>
      <c r="D79" s="614">
        <v>0</v>
      </c>
      <c r="E79" s="616">
        <v>0</v>
      </c>
      <c r="F79" s="614">
        <v>15</v>
      </c>
      <c r="G79" s="616">
        <v>8616000</v>
      </c>
      <c r="H79" s="614"/>
      <c r="I79" s="616">
        <v>19400000</v>
      </c>
      <c r="J79" s="614">
        <v>1764</v>
      </c>
      <c r="K79" s="616">
        <v>4964500</v>
      </c>
      <c r="L79" s="614"/>
      <c r="M79" s="616"/>
    </row>
    <row r="80" spans="1:13" x14ac:dyDescent="0.25">
      <c r="A80" s="813" t="s">
        <v>406</v>
      </c>
      <c r="B80" s="614">
        <v>8</v>
      </c>
      <c r="C80" s="616">
        <v>12725000</v>
      </c>
      <c r="D80" s="614">
        <v>0</v>
      </c>
      <c r="E80" s="616">
        <v>0</v>
      </c>
      <c r="F80" s="614">
        <v>13</v>
      </c>
      <c r="G80" s="616">
        <v>17331800</v>
      </c>
      <c r="H80" s="614"/>
      <c r="I80" s="616">
        <v>8245000</v>
      </c>
      <c r="J80" s="614">
        <v>793</v>
      </c>
      <c r="K80" s="616">
        <v>2946000</v>
      </c>
      <c r="L80" s="614"/>
      <c r="M80" s="616"/>
    </row>
    <row r="81" spans="1:13" x14ac:dyDescent="0.25">
      <c r="A81" s="813" t="s">
        <v>399</v>
      </c>
      <c r="B81" s="614">
        <v>12</v>
      </c>
      <c r="C81" s="616">
        <v>21109400</v>
      </c>
      <c r="D81" s="614">
        <v>0</v>
      </c>
      <c r="E81" s="616">
        <v>0</v>
      </c>
      <c r="F81" s="614">
        <v>8</v>
      </c>
      <c r="G81" s="616">
        <v>7216585</v>
      </c>
      <c r="H81" s="614"/>
      <c r="I81" s="616">
        <v>12610000</v>
      </c>
      <c r="J81" s="614">
        <v>1552</v>
      </c>
      <c r="K81" s="616">
        <v>5369000</v>
      </c>
      <c r="L81" s="614"/>
      <c r="M81" s="616"/>
    </row>
    <row r="82" spans="1:13" x14ac:dyDescent="0.25">
      <c r="A82" s="813" t="s">
        <v>408</v>
      </c>
      <c r="B82" s="614">
        <v>1</v>
      </c>
      <c r="C82" s="616">
        <v>6240000</v>
      </c>
      <c r="D82" s="614">
        <v>0</v>
      </c>
      <c r="E82" s="616">
        <v>0</v>
      </c>
      <c r="F82" s="614">
        <v>4</v>
      </c>
      <c r="G82" s="616">
        <v>13100000</v>
      </c>
      <c r="H82" s="614"/>
      <c r="I82" s="616"/>
      <c r="J82" s="614">
        <v>75</v>
      </c>
      <c r="K82" s="616">
        <v>240000</v>
      </c>
      <c r="L82" s="614"/>
      <c r="M82" s="616"/>
    </row>
    <row r="83" spans="1:13" x14ac:dyDescent="0.25">
      <c r="A83" s="807" t="s">
        <v>297</v>
      </c>
      <c r="B83" s="808">
        <v>47</v>
      </c>
      <c r="C83" s="809">
        <v>71055914.870000005</v>
      </c>
      <c r="D83" s="808">
        <v>0</v>
      </c>
      <c r="E83" s="809">
        <v>0</v>
      </c>
      <c r="F83" s="808">
        <v>26</v>
      </c>
      <c r="G83" s="809">
        <v>30375665.219999999</v>
      </c>
      <c r="H83" s="808">
        <v>0</v>
      </c>
      <c r="I83" s="809">
        <v>52622500</v>
      </c>
      <c r="J83" s="808">
        <v>4089</v>
      </c>
      <c r="K83" s="809">
        <v>9540200</v>
      </c>
      <c r="L83" s="808">
        <v>0</v>
      </c>
      <c r="M83" s="809">
        <v>0</v>
      </c>
    </row>
    <row r="84" spans="1:13" x14ac:dyDescent="0.25">
      <c r="A84" s="813" t="s">
        <v>278</v>
      </c>
      <c r="B84" s="614">
        <v>13</v>
      </c>
      <c r="C84" s="616">
        <v>10331498.539999999</v>
      </c>
      <c r="D84" s="614">
        <v>0</v>
      </c>
      <c r="E84" s="616">
        <v>0</v>
      </c>
      <c r="F84" s="614">
        <v>6</v>
      </c>
      <c r="G84" s="616">
        <v>5550000</v>
      </c>
      <c r="H84" s="614"/>
      <c r="I84" s="616">
        <v>7760000</v>
      </c>
      <c r="J84" s="614">
        <v>1239</v>
      </c>
      <c r="K84" s="616">
        <v>2612400</v>
      </c>
      <c r="L84" s="614"/>
      <c r="M84" s="616"/>
    </row>
    <row r="85" spans="1:13" x14ac:dyDescent="0.25">
      <c r="A85" s="813" t="s">
        <v>397</v>
      </c>
      <c r="B85" s="614">
        <v>17</v>
      </c>
      <c r="C85" s="616">
        <v>23454077.829999998</v>
      </c>
      <c r="D85" s="614">
        <v>0</v>
      </c>
      <c r="E85" s="616">
        <v>0</v>
      </c>
      <c r="F85" s="614">
        <v>8</v>
      </c>
      <c r="G85" s="616">
        <v>8040165.2199999997</v>
      </c>
      <c r="H85" s="614"/>
      <c r="I85" s="616">
        <v>8487500</v>
      </c>
      <c r="J85" s="614">
        <v>722</v>
      </c>
      <c r="K85" s="616">
        <v>1814800</v>
      </c>
      <c r="L85" s="614"/>
      <c r="M85" s="616"/>
    </row>
    <row r="86" spans="1:13" x14ac:dyDescent="0.25">
      <c r="A86" s="813" t="s">
        <v>406</v>
      </c>
      <c r="B86" s="614">
        <v>9</v>
      </c>
      <c r="C86" s="616">
        <v>18520338.5</v>
      </c>
      <c r="D86" s="614">
        <v>0</v>
      </c>
      <c r="E86" s="616">
        <v>0</v>
      </c>
      <c r="F86" s="614">
        <v>4</v>
      </c>
      <c r="G86" s="616">
        <v>4135500</v>
      </c>
      <c r="H86" s="614"/>
      <c r="I86" s="616">
        <v>7275000</v>
      </c>
      <c r="J86" s="614">
        <v>719</v>
      </c>
      <c r="K86" s="616">
        <v>1722500</v>
      </c>
      <c r="L86" s="614"/>
      <c r="M86" s="616"/>
    </row>
    <row r="87" spans="1:13" x14ac:dyDescent="0.25">
      <c r="A87" s="813" t="s">
        <v>399</v>
      </c>
      <c r="B87" s="614">
        <v>8</v>
      </c>
      <c r="C87" s="616">
        <v>18750000</v>
      </c>
      <c r="D87" s="614">
        <v>0</v>
      </c>
      <c r="E87" s="616">
        <v>0</v>
      </c>
      <c r="F87" s="614">
        <v>8</v>
      </c>
      <c r="G87" s="616">
        <v>12650000</v>
      </c>
      <c r="H87" s="614"/>
      <c r="I87" s="616">
        <v>29100000</v>
      </c>
      <c r="J87" s="614">
        <v>1409</v>
      </c>
      <c r="K87" s="616">
        <v>3390500</v>
      </c>
      <c r="L87" s="614"/>
      <c r="M87" s="616"/>
    </row>
    <row r="88" spans="1:13" x14ac:dyDescent="0.25">
      <c r="A88" s="807" t="s">
        <v>298</v>
      </c>
      <c r="B88" s="808">
        <v>48</v>
      </c>
      <c r="C88" s="809">
        <v>60866921.740000002</v>
      </c>
      <c r="D88" s="808">
        <v>0</v>
      </c>
      <c r="E88" s="809">
        <v>0</v>
      </c>
      <c r="F88" s="808">
        <v>79</v>
      </c>
      <c r="G88" s="809">
        <v>64314088</v>
      </c>
      <c r="H88" s="808">
        <v>0</v>
      </c>
      <c r="I88" s="809">
        <v>24541000</v>
      </c>
      <c r="J88" s="808">
        <v>2204</v>
      </c>
      <c r="K88" s="809">
        <v>7369992.5499999998</v>
      </c>
      <c r="L88" s="808">
        <v>0</v>
      </c>
      <c r="M88" s="809">
        <v>0</v>
      </c>
    </row>
    <row r="89" spans="1:13" x14ac:dyDescent="0.25">
      <c r="A89" s="813" t="s">
        <v>278</v>
      </c>
      <c r="B89" s="614">
        <v>6</v>
      </c>
      <c r="C89" s="616">
        <v>6575000</v>
      </c>
      <c r="D89" s="614">
        <v>0</v>
      </c>
      <c r="E89" s="616">
        <v>0</v>
      </c>
      <c r="F89" s="614">
        <v>8</v>
      </c>
      <c r="G89" s="616">
        <v>6792660</v>
      </c>
      <c r="H89" s="614"/>
      <c r="I89" s="616">
        <v>9700000</v>
      </c>
      <c r="J89" s="614">
        <v>380</v>
      </c>
      <c r="K89" s="616">
        <v>1390500</v>
      </c>
      <c r="L89" s="614"/>
      <c r="M89" s="616"/>
    </row>
    <row r="90" spans="1:13" x14ac:dyDescent="0.25">
      <c r="A90" s="813" t="s">
        <v>397</v>
      </c>
      <c r="B90" s="614">
        <v>12</v>
      </c>
      <c r="C90" s="616">
        <v>17590400</v>
      </c>
      <c r="D90" s="614">
        <v>0</v>
      </c>
      <c r="E90" s="616">
        <v>0</v>
      </c>
      <c r="F90" s="614">
        <v>15</v>
      </c>
      <c r="G90" s="616">
        <v>17310000</v>
      </c>
      <c r="H90" s="614"/>
      <c r="I90" s="616">
        <v>2910000</v>
      </c>
      <c r="J90" s="614">
        <v>209</v>
      </c>
      <c r="K90" s="616">
        <v>668292.55000000005</v>
      </c>
      <c r="L90" s="614"/>
      <c r="M90" s="616"/>
    </row>
    <row r="91" spans="1:13" x14ac:dyDescent="0.25">
      <c r="A91" s="813" t="s">
        <v>406</v>
      </c>
      <c r="B91" s="614">
        <v>13</v>
      </c>
      <c r="C91" s="616">
        <v>16875000</v>
      </c>
      <c r="D91" s="614">
        <v>0</v>
      </c>
      <c r="E91" s="616">
        <v>0</v>
      </c>
      <c r="F91" s="614">
        <v>25</v>
      </c>
      <c r="G91" s="616">
        <v>13432428</v>
      </c>
      <c r="H91" s="614"/>
      <c r="I91" s="616">
        <v>7081000</v>
      </c>
      <c r="J91" s="614">
        <v>898</v>
      </c>
      <c r="K91" s="616">
        <v>2960000</v>
      </c>
      <c r="L91" s="614"/>
      <c r="M91" s="616"/>
    </row>
    <row r="92" spans="1:13" x14ac:dyDescent="0.25">
      <c r="A92" s="813" t="s">
        <v>399</v>
      </c>
      <c r="B92" s="614">
        <v>17</v>
      </c>
      <c r="C92" s="616">
        <v>19826521.740000002</v>
      </c>
      <c r="D92" s="614">
        <v>0</v>
      </c>
      <c r="E92" s="616">
        <v>0</v>
      </c>
      <c r="F92" s="614">
        <v>31</v>
      </c>
      <c r="G92" s="616">
        <v>26779000</v>
      </c>
      <c r="H92" s="614"/>
      <c r="I92" s="616">
        <v>4850000</v>
      </c>
      <c r="J92" s="614">
        <v>717</v>
      </c>
      <c r="K92" s="616">
        <v>2351200</v>
      </c>
      <c r="L92" s="614"/>
      <c r="M92" s="616"/>
    </row>
    <row r="93" spans="1:13" x14ac:dyDescent="0.25">
      <c r="A93" s="807" t="s">
        <v>299</v>
      </c>
      <c r="B93" s="808">
        <v>25</v>
      </c>
      <c r="C93" s="809">
        <v>31314861</v>
      </c>
      <c r="D93" s="808">
        <v>0</v>
      </c>
      <c r="E93" s="809">
        <v>0</v>
      </c>
      <c r="F93" s="808">
        <v>1</v>
      </c>
      <c r="G93" s="809">
        <v>610000</v>
      </c>
      <c r="H93" s="808">
        <v>0</v>
      </c>
      <c r="I93" s="809">
        <v>7760000</v>
      </c>
      <c r="J93" s="808">
        <v>2497</v>
      </c>
      <c r="K93" s="809">
        <v>5927140</v>
      </c>
      <c r="L93" s="808">
        <v>0</v>
      </c>
      <c r="M93" s="809">
        <v>0</v>
      </c>
    </row>
    <row r="94" spans="1:13" x14ac:dyDescent="0.25">
      <c r="A94" s="813" t="s">
        <v>278</v>
      </c>
      <c r="B94" s="614">
        <v>13</v>
      </c>
      <c r="C94" s="616">
        <v>16078301</v>
      </c>
      <c r="D94" s="614">
        <v>0</v>
      </c>
      <c r="E94" s="616">
        <v>0</v>
      </c>
      <c r="F94" s="614"/>
      <c r="G94" s="616"/>
      <c r="H94" s="614"/>
      <c r="I94" s="616"/>
      <c r="J94" s="614">
        <v>2191</v>
      </c>
      <c r="K94" s="616">
        <v>4658000</v>
      </c>
      <c r="L94" s="614"/>
      <c r="M94" s="616"/>
    </row>
    <row r="95" spans="1:13" x14ac:dyDescent="0.25">
      <c r="A95" s="813" t="s">
        <v>397</v>
      </c>
      <c r="B95" s="614">
        <v>7</v>
      </c>
      <c r="C95" s="616">
        <v>8487000</v>
      </c>
      <c r="D95" s="614">
        <v>0</v>
      </c>
      <c r="E95" s="616">
        <v>0</v>
      </c>
      <c r="F95" s="614"/>
      <c r="G95" s="616"/>
      <c r="H95" s="614"/>
      <c r="I95" s="616">
        <v>2910000</v>
      </c>
      <c r="J95" s="614">
        <v>148</v>
      </c>
      <c r="K95" s="616">
        <v>521200</v>
      </c>
      <c r="L95" s="614"/>
      <c r="M95" s="616"/>
    </row>
    <row r="96" spans="1:13" x14ac:dyDescent="0.25">
      <c r="A96" s="813" t="s">
        <v>406</v>
      </c>
      <c r="B96" s="614">
        <v>5</v>
      </c>
      <c r="C96" s="616">
        <v>6749560</v>
      </c>
      <c r="D96" s="614">
        <v>0</v>
      </c>
      <c r="E96" s="616">
        <v>0</v>
      </c>
      <c r="F96" s="614">
        <v>1</v>
      </c>
      <c r="G96" s="616">
        <v>610000</v>
      </c>
      <c r="H96" s="614"/>
      <c r="I96" s="616">
        <v>4850000</v>
      </c>
      <c r="J96" s="614">
        <v>158</v>
      </c>
      <c r="K96" s="616">
        <v>747940</v>
      </c>
      <c r="L96" s="614"/>
      <c r="M96" s="616"/>
    </row>
    <row r="97" spans="1:13" x14ac:dyDescent="0.25">
      <c r="A97" s="807" t="s">
        <v>300</v>
      </c>
      <c r="B97" s="808">
        <v>33</v>
      </c>
      <c r="C97" s="809">
        <v>40461360</v>
      </c>
      <c r="D97" s="808">
        <v>0</v>
      </c>
      <c r="E97" s="809">
        <v>0</v>
      </c>
      <c r="F97" s="808">
        <v>30</v>
      </c>
      <c r="G97" s="809">
        <v>27225500</v>
      </c>
      <c r="H97" s="808">
        <v>0</v>
      </c>
      <c r="I97" s="809">
        <v>33950000</v>
      </c>
      <c r="J97" s="808">
        <v>1208</v>
      </c>
      <c r="K97" s="809">
        <v>4262351.5</v>
      </c>
      <c r="L97" s="808">
        <v>0</v>
      </c>
      <c r="M97" s="809">
        <v>0</v>
      </c>
    </row>
    <row r="98" spans="1:13" x14ac:dyDescent="0.25">
      <c r="A98" s="813" t="s">
        <v>278</v>
      </c>
      <c r="B98" s="614">
        <v>8</v>
      </c>
      <c r="C98" s="616">
        <v>14560000</v>
      </c>
      <c r="D98" s="614">
        <v>0</v>
      </c>
      <c r="E98" s="616">
        <v>0</v>
      </c>
      <c r="F98" s="614">
        <v>4</v>
      </c>
      <c r="G98" s="616">
        <v>4600000</v>
      </c>
      <c r="H98" s="614"/>
      <c r="I98" s="616">
        <v>14550000</v>
      </c>
      <c r="J98" s="614">
        <v>775</v>
      </c>
      <c r="K98" s="616">
        <v>2842351.5</v>
      </c>
      <c r="L98" s="614"/>
      <c r="M98" s="616"/>
    </row>
    <row r="99" spans="1:13" x14ac:dyDescent="0.25">
      <c r="A99" s="813" t="s">
        <v>397</v>
      </c>
      <c r="B99" s="614">
        <v>25</v>
      </c>
      <c r="C99" s="616">
        <v>25901360</v>
      </c>
      <c r="D99" s="614">
        <v>0</v>
      </c>
      <c r="E99" s="616">
        <v>0</v>
      </c>
      <c r="F99" s="614">
        <v>26</v>
      </c>
      <c r="G99" s="616">
        <v>22625500</v>
      </c>
      <c r="H99" s="614"/>
      <c r="I99" s="616">
        <v>19400000</v>
      </c>
      <c r="J99" s="614">
        <v>433</v>
      </c>
      <c r="K99" s="616">
        <v>1420000</v>
      </c>
      <c r="L99" s="614"/>
      <c r="M99" s="616"/>
    </row>
    <row r="100" spans="1:13" x14ac:dyDescent="0.25">
      <c r="A100" s="880" t="s">
        <v>426</v>
      </c>
      <c r="B100" s="881" t="s">
        <v>441</v>
      </c>
      <c r="C100" s="882"/>
      <c r="D100" s="882"/>
      <c r="E100" s="882"/>
      <c r="F100" s="882"/>
      <c r="G100" s="882"/>
    </row>
    <row r="101" spans="1:13" x14ac:dyDescent="0.25">
      <c r="A101" s="880"/>
      <c r="B101" s="883" t="s">
        <v>431</v>
      </c>
      <c r="C101" s="884"/>
      <c r="D101" s="881" t="s">
        <v>432</v>
      </c>
      <c r="E101" s="885"/>
      <c r="F101" s="883" t="s">
        <v>443</v>
      </c>
      <c r="G101" s="884"/>
    </row>
    <row r="102" spans="1:13" ht="30" x14ac:dyDescent="0.25">
      <c r="A102" s="880"/>
      <c r="B102" s="802" t="s">
        <v>434</v>
      </c>
      <c r="C102" s="816" t="s">
        <v>60</v>
      </c>
      <c r="D102" s="802" t="s">
        <v>253</v>
      </c>
      <c r="E102" s="816" t="s">
        <v>305</v>
      </c>
      <c r="F102" s="802" t="s">
        <v>253</v>
      </c>
      <c r="G102" s="803" t="s">
        <v>60</v>
      </c>
    </row>
    <row r="103" spans="1:13" x14ac:dyDescent="0.25">
      <c r="A103" s="800" t="s">
        <v>14</v>
      </c>
      <c r="B103" s="805">
        <v>0</v>
      </c>
      <c r="C103" s="801">
        <v>0</v>
      </c>
      <c r="D103" s="805">
        <v>78</v>
      </c>
      <c r="E103" s="801">
        <v>276799</v>
      </c>
      <c r="F103" s="805">
        <v>0</v>
      </c>
      <c r="G103" s="806">
        <v>0</v>
      </c>
    </row>
    <row r="104" spans="1:13" x14ac:dyDescent="0.25">
      <c r="A104" s="807" t="s">
        <v>294</v>
      </c>
      <c r="B104" s="808"/>
      <c r="C104" s="809"/>
      <c r="D104" s="808">
        <v>2</v>
      </c>
      <c r="E104" s="809">
        <v>8000</v>
      </c>
      <c r="F104" s="808"/>
      <c r="G104" s="809"/>
    </row>
    <row r="105" spans="1:13" x14ac:dyDescent="0.25">
      <c r="A105" s="810" t="s">
        <v>295</v>
      </c>
      <c r="B105" s="811">
        <v>0</v>
      </c>
      <c r="C105" s="812">
        <v>0</v>
      </c>
      <c r="D105" s="811">
        <v>2</v>
      </c>
      <c r="E105" s="812">
        <v>10000</v>
      </c>
      <c r="F105" s="811">
        <v>0</v>
      </c>
      <c r="G105" s="812">
        <v>0</v>
      </c>
    </row>
    <row r="106" spans="1:13" x14ac:dyDescent="0.25">
      <c r="A106" s="813" t="s">
        <v>278</v>
      </c>
      <c r="B106" s="614"/>
      <c r="C106" s="616"/>
      <c r="D106" s="614">
        <v>2</v>
      </c>
      <c r="E106" s="616">
        <v>10000</v>
      </c>
      <c r="F106" s="614"/>
      <c r="G106" s="616"/>
    </row>
    <row r="107" spans="1:13" x14ac:dyDescent="0.25">
      <c r="A107" s="813" t="s">
        <v>397</v>
      </c>
      <c r="B107" s="614"/>
      <c r="C107" s="616"/>
      <c r="D107" s="614">
        <v>0</v>
      </c>
      <c r="E107" s="616">
        <v>0</v>
      </c>
      <c r="F107" s="614"/>
      <c r="G107" s="616"/>
    </row>
    <row r="108" spans="1:13" x14ac:dyDescent="0.25">
      <c r="A108" s="807" t="s">
        <v>296</v>
      </c>
      <c r="B108" s="808">
        <v>0</v>
      </c>
      <c r="C108" s="809">
        <v>0</v>
      </c>
      <c r="D108" s="808">
        <v>12</v>
      </c>
      <c r="E108" s="809">
        <v>31100</v>
      </c>
      <c r="F108" s="808">
        <v>0</v>
      </c>
      <c r="G108" s="809">
        <v>0</v>
      </c>
    </row>
    <row r="109" spans="1:13" x14ac:dyDescent="0.25">
      <c r="A109" s="813" t="s">
        <v>278</v>
      </c>
      <c r="B109" s="614"/>
      <c r="C109" s="616"/>
      <c r="D109" s="614">
        <v>1</v>
      </c>
      <c r="E109" s="616">
        <v>100</v>
      </c>
      <c r="F109" s="614"/>
      <c r="G109" s="616"/>
    </row>
    <row r="110" spans="1:13" x14ac:dyDescent="0.25">
      <c r="A110" s="813" t="s">
        <v>397</v>
      </c>
      <c r="B110" s="614"/>
      <c r="C110" s="616"/>
      <c r="D110" s="614">
        <v>1</v>
      </c>
      <c r="E110" s="616">
        <v>5000</v>
      </c>
      <c r="F110" s="614"/>
      <c r="G110" s="616"/>
    </row>
    <row r="111" spans="1:13" x14ac:dyDescent="0.25">
      <c r="A111" s="813" t="s">
        <v>406</v>
      </c>
      <c r="B111" s="614"/>
      <c r="C111" s="616"/>
      <c r="D111" s="614">
        <v>2</v>
      </c>
      <c r="E111" s="616">
        <v>5250</v>
      </c>
      <c r="F111" s="614"/>
      <c r="G111" s="616"/>
    </row>
    <row r="112" spans="1:13" x14ac:dyDescent="0.25">
      <c r="A112" s="813" t="s">
        <v>399</v>
      </c>
      <c r="B112" s="614"/>
      <c r="C112" s="616"/>
      <c r="D112" s="614">
        <v>1</v>
      </c>
      <c r="E112" s="616">
        <v>100</v>
      </c>
      <c r="F112" s="614"/>
      <c r="G112" s="616"/>
    </row>
    <row r="113" spans="1:7" x14ac:dyDescent="0.25">
      <c r="A113" s="813" t="s">
        <v>408</v>
      </c>
      <c r="B113" s="614"/>
      <c r="C113" s="616"/>
      <c r="D113" s="614">
        <v>7</v>
      </c>
      <c r="E113" s="616">
        <v>20650</v>
      </c>
      <c r="F113" s="614"/>
      <c r="G113" s="616"/>
    </row>
    <row r="114" spans="1:7" x14ac:dyDescent="0.25">
      <c r="A114" s="807" t="s">
        <v>297</v>
      </c>
      <c r="B114" s="808">
        <v>0</v>
      </c>
      <c r="C114" s="809">
        <v>0</v>
      </c>
      <c r="D114" s="808">
        <v>5</v>
      </c>
      <c r="E114" s="809">
        <v>11300</v>
      </c>
      <c r="F114" s="808">
        <v>0</v>
      </c>
      <c r="G114" s="809">
        <v>0</v>
      </c>
    </row>
    <row r="115" spans="1:7" x14ac:dyDescent="0.25">
      <c r="A115" s="813" t="s">
        <v>278</v>
      </c>
      <c r="B115" s="614"/>
      <c r="C115" s="616"/>
      <c r="D115" s="614">
        <v>1</v>
      </c>
      <c r="E115" s="616">
        <v>500</v>
      </c>
      <c r="F115" s="614"/>
      <c r="G115" s="616"/>
    </row>
    <row r="116" spans="1:7" x14ac:dyDescent="0.25">
      <c r="A116" s="813" t="s">
        <v>397</v>
      </c>
      <c r="B116" s="614"/>
      <c r="C116" s="616"/>
      <c r="D116" s="614">
        <v>0</v>
      </c>
      <c r="E116" s="616">
        <v>0</v>
      </c>
      <c r="F116" s="614"/>
      <c r="G116" s="616"/>
    </row>
    <row r="117" spans="1:7" x14ac:dyDescent="0.25">
      <c r="A117" s="813" t="s">
        <v>406</v>
      </c>
      <c r="B117" s="614"/>
      <c r="C117" s="616"/>
      <c r="D117" s="614">
        <v>4</v>
      </c>
      <c r="E117" s="616">
        <v>10800</v>
      </c>
      <c r="F117" s="614"/>
      <c r="G117" s="616"/>
    </row>
    <row r="118" spans="1:7" x14ac:dyDescent="0.25">
      <c r="A118" s="813" t="s">
        <v>399</v>
      </c>
      <c r="B118" s="614"/>
      <c r="C118" s="616"/>
      <c r="D118" s="614">
        <v>0</v>
      </c>
      <c r="E118" s="616">
        <v>0</v>
      </c>
      <c r="F118" s="614"/>
      <c r="G118" s="616"/>
    </row>
    <row r="119" spans="1:7" x14ac:dyDescent="0.25">
      <c r="A119" s="807" t="s">
        <v>298</v>
      </c>
      <c r="B119" s="808">
        <v>0</v>
      </c>
      <c r="C119" s="809">
        <v>0</v>
      </c>
      <c r="D119" s="808">
        <v>54</v>
      </c>
      <c r="E119" s="809">
        <v>214699</v>
      </c>
      <c r="F119" s="808">
        <v>0</v>
      </c>
      <c r="G119" s="809">
        <v>0</v>
      </c>
    </row>
    <row r="120" spans="1:7" x14ac:dyDescent="0.25">
      <c r="A120" s="813" t="s">
        <v>278</v>
      </c>
      <c r="B120" s="614"/>
      <c r="C120" s="616"/>
      <c r="D120" s="614">
        <v>5</v>
      </c>
      <c r="E120" s="616">
        <v>13900</v>
      </c>
      <c r="F120" s="614"/>
      <c r="G120" s="616"/>
    </row>
    <row r="121" spans="1:7" x14ac:dyDescent="0.25">
      <c r="A121" s="813" t="s">
        <v>397</v>
      </c>
      <c r="B121" s="614"/>
      <c r="C121" s="616"/>
      <c r="D121" s="614">
        <v>10</v>
      </c>
      <c r="E121" s="616">
        <v>46000</v>
      </c>
      <c r="F121" s="614"/>
      <c r="G121" s="616"/>
    </row>
    <row r="122" spans="1:7" x14ac:dyDescent="0.25">
      <c r="A122" s="813" t="s">
        <v>406</v>
      </c>
      <c r="B122" s="614"/>
      <c r="C122" s="616"/>
      <c r="D122" s="614">
        <v>26</v>
      </c>
      <c r="E122" s="616">
        <v>108500</v>
      </c>
      <c r="F122" s="614"/>
      <c r="G122" s="616"/>
    </row>
    <row r="123" spans="1:7" x14ac:dyDescent="0.25">
      <c r="A123" s="813" t="s">
        <v>399</v>
      </c>
      <c r="B123" s="614"/>
      <c r="C123" s="616"/>
      <c r="D123" s="614">
        <v>13</v>
      </c>
      <c r="E123" s="616">
        <v>46299</v>
      </c>
      <c r="F123" s="614"/>
      <c r="G123" s="616"/>
    </row>
    <row r="124" spans="1:7" x14ac:dyDescent="0.25">
      <c r="A124" s="807" t="s">
        <v>299</v>
      </c>
      <c r="B124" s="808">
        <v>0</v>
      </c>
      <c r="C124" s="809">
        <v>0</v>
      </c>
      <c r="D124" s="808">
        <v>3</v>
      </c>
      <c r="E124" s="809">
        <v>1700</v>
      </c>
      <c r="F124" s="808">
        <v>0</v>
      </c>
      <c r="G124" s="809">
        <v>0</v>
      </c>
    </row>
    <row r="125" spans="1:7" x14ac:dyDescent="0.25">
      <c r="A125" s="813" t="s">
        <v>278</v>
      </c>
      <c r="B125" s="614"/>
      <c r="C125" s="616"/>
      <c r="D125" s="614">
        <v>2</v>
      </c>
      <c r="E125" s="616">
        <v>1200</v>
      </c>
      <c r="F125" s="614"/>
      <c r="G125" s="616"/>
    </row>
    <row r="126" spans="1:7" x14ac:dyDescent="0.25">
      <c r="A126" s="813" t="s">
        <v>397</v>
      </c>
      <c r="B126" s="614"/>
      <c r="C126" s="616"/>
      <c r="D126" s="614">
        <v>1</v>
      </c>
      <c r="E126" s="616">
        <v>500</v>
      </c>
      <c r="F126" s="614"/>
      <c r="G126" s="616"/>
    </row>
    <row r="127" spans="1:7" x14ac:dyDescent="0.25">
      <c r="A127" s="813" t="s">
        <v>406</v>
      </c>
      <c r="B127" s="614"/>
      <c r="C127" s="616"/>
      <c r="D127" s="614">
        <v>0</v>
      </c>
      <c r="E127" s="616">
        <v>0</v>
      </c>
      <c r="F127" s="614"/>
      <c r="G127" s="616"/>
    </row>
    <row r="128" spans="1:7" x14ac:dyDescent="0.25">
      <c r="A128" s="807" t="s">
        <v>300</v>
      </c>
      <c r="B128" s="808">
        <v>0</v>
      </c>
      <c r="C128" s="809">
        <v>0</v>
      </c>
      <c r="D128" s="808">
        <v>0</v>
      </c>
      <c r="E128" s="809">
        <v>0</v>
      </c>
      <c r="F128" s="808">
        <v>0</v>
      </c>
      <c r="G128" s="809">
        <v>0</v>
      </c>
    </row>
    <row r="129" spans="1:7" x14ac:dyDescent="0.25">
      <c r="A129" s="813" t="s">
        <v>278</v>
      </c>
      <c r="B129" s="614"/>
      <c r="C129" s="616"/>
      <c r="D129" s="614">
        <v>0</v>
      </c>
      <c r="E129" s="616">
        <v>0</v>
      </c>
      <c r="F129" s="614"/>
      <c r="G129" s="616"/>
    </row>
    <row r="130" spans="1:7" x14ac:dyDescent="0.25">
      <c r="A130" s="813" t="s">
        <v>397</v>
      </c>
      <c r="B130" s="614"/>
      <c r="C130" s="616"/>
      <c r="D130" s="614">
        <v>0</v>
      </c>
      <c r="E130" s="616">
        <v>0</v>
      </c>
      <c r="F130" s="614"/>
      <c r="G130" s="616"/>
    </row>
  </sheetData>
  <mergeCells count="36">
    <mergeCell ref="B100:G100"/>
    <mergeCell ref="B101:C101"/>
    <mergeCell ref="D101:E101"/>
    <mergeCell ref="F101:G101"/>
    <mergeCell ref="A100:A102"/>
    <mergeCell ref="A1:M1"/>
    <mergeCell ref="A2:M2"/>
    <mergeCell ref="A3:M3"/>
    <mergeCell ref="A5:M5"/>
    <mergeCell ref="A69:A71"/>
    <mergeCell ref="B69:G69"/>
    <mergeCell ref="H69:M69"/>
    <mergeCell ref="B70:C70"/>
    <mergeCell ref="D70:E70"/>
    <mergeCell ref="F70:G70"/>
    <mergeCell ref="H70:I70"/>
    <mergeCell ref="J70:K70"/>
    <mergeCell ref="L70:M70"/>
    <mergeCell ref="A38:A40"/>
    <mergeCell ref="B38:G38"/>
    <mergeCell ref="H38:M38"/>
    <mergeCell ref="A7:A9"/>
    <mergeCell ref="B7:G7"/>
    <mergeCell ref="H7:M7"/>
    <mergeCell ref="L39:M39"/>
    <mergeCell ref="B8:C8"/>
    <mergeCell ref="D8:E8"/>
    <mergeCell ref="F8:G8"/>
    <mergeCell ref="H8:I8"/>
    <mergeCell ref="J8:K8"/>
    <mergeCell ref="L8:M8"/>
    <mergeCell ref="B39:C39"/>
    <mergeCell ref="D39:E39"/>
    <mergeCell ref="F39:G39"/>
    <mergeCell ref="H39:I39"/>
    <mergeCell ref="J39:K39"/>
  </mergeCells>
  <pageMargins left="0.42" right="0.7" top="0.75" bottom="0.75" header="0.3" footer="0.3"/>
  <pageSetup paperSize="9" scale="70" orientation="landscape" horizontalDpi="4294967293" verticalDpi="4294967293" r:id="rId1"/>
  <headerFooter>
    <oddFooter>Page &amp;P of &amp;N</oddFooter>
  </headerFooter>
  <rowBreaks count="3" manualBreakCount="3">
    <brk id="37" max="12" man="1"/>
    <brk id="68" max="12" man="1"/>
    <brk id="99"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6" sqref="A6:F12"/>
    </sheetView>
  </sheetViews>
  <sheetFormatPr defaultRowHeight="15" x14ac:dyDescent="0.25"/>
  <cols>
    <col min="1" max="1" width="30.85546875" customWidth="1"/>
    <col min="2" max="2" width="42" customWidth="1"/>
    <col min="3" max="3" width="16.7109375"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16"/>
      <c r="B3" s="216"/>
      <c r="C3" s="216"/>
      <c r="D3" s="216"/>
      <c r="E3" s="216"/>
    </row>
    <row r="4" spans="1:5" s="47" customFormat="1" ht="15.75" x14ac:dyDescent="0.25">
      <c r="A4" s="844" t="s">
        <v>256</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0" t="s">
        <v>251</v>
      </c>
      <c r="C8" s="224" t="s">
        <v>79</v>
      </c>
      <c r="D8" s="224">
        <f>SUM(D9:D11)</f>
        <v>16</v>
      </c>
      <c r="E8" s="84">
        <f>SUM(E9:E11)</f>
        <v>7516500</v>
      </c>
    </row>
    <row r="9" spans="1:5" s="2" customFormat="1" ht="14.25" customHeight="1" x14ac:dyDescent="0.25">
      <c r="A9" s="870"/>
      <c r="B9" s="1061"/>
      <c r="C9" s="4" t="s">
        <v>44</v>
      </c>
      <c r="D9" s="30">
        <v>1</v>
      </c>
      <c r="E9" s="37">
        <v>2000000</v>
      </c>
    </row>
    <row r="10" spans="1:5" s="2" customFormat="1" ht="14.25" customHeight="1" x14ac:dyDescent="0.25">
      <c r="A10" s="870"/>
      <c r="B10" s="1061"/>
      <c r="C10" s="4" t="s">
        <v>45</v>
      </c>
      <c r="D10" s="30">
        <v>8</v>
      </c>
      <c r="E10" s="37">
        <v>1530000</v>
      </c>
    </row>
    <row r="11" spans="1:5" ht="45" customHeight="1" x14ac:dyDescent="0.25">
      <c r="A11" s="873"/>
      <c r="B11" s="1062"/>
      <c r="C11" s="196" t="s">
        <v>46</v>
      </c>
      <c r="D11" s="233">
        <v>7</v>
      </c>
      <c r="E11" s="234">
        <v>3986500</v>
      </c>
    </row>
    <row r="12" spans="1:5" ht="21" customHeight="1" x14ac:dyDescent="0.3">
      <c r="A12" s="52"/>
      <c r="B12" s="258"/>
      <c r="C12" s="115"/>
      <c r="D12" s="251"/>
      <c r="E12" s="252"/>
    </row>
    <row r="13" spans="1:5" ht="15" customHeight="1" x14ac:dyDescent="0.25">
      <c r="A13" s="52"/>
      <c r="B13" s="258"/>
      <c r="C13" s="115"/>
      <c r="D13" s="251"/>
      <c r="E13" s="252"/>
    </row>
    <row r="14" spans="1:5" x14ac:dyDescent="0.25">
      <c r="A14" t="s">
        <v>27</v>
      </c>
      <c r="B14" t="s">
        <v>29</v>
      </c>
      <c r="D14" t="s">
        <v>32</v>
      </c>
    </row>
    <row r="15" spans="1:5" x14ac:dyDescent="0.25">
      <c r="A15" t="s">
        <v>223</v>
      </c>
      <c r="B15" t="s">
        <v>30</v>
      </c>
      <c r="D15" t="s">
        <v>33</v>
      </c>
    </row>
  </sheetData>
  <mergeCells count="10">
    <mergeCell ref="A8:A11"/>
    <mergeCell ref="B8:B11"/>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workbookViewId="0">
      <selection activeCell="A6" sqref="A6:F12"/>
    </sheetView>
  </sheetViews>
  <sheetFormatPr defaultRowHeight="15" x14ac:dyDescent="0.25"/>
  <cols>
    <col min="1" max="1" width="30.85546875" customWidth="1"/>
    <col min="2" max="2" width="42" customWidth="1"/>
    <col min="3" max="4" width="16.140625" customWidth="1"/>
    <col min="5" max="5" width="13" customWidth="1"/>
    <col min="6" max="6" width="18.14062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04"/>
      <c r="B3" s="204"/>
      <c r="C3" s="204"/>
      <c r="D3" s="204"/>
      <c r="E3" s="204"/>
      <c r="F3" s="90"/>
      <c r="G3" s="204"/>
      <c r="H3" s="204"/>
    </row>
    <row r="4" spans="1:8" s="47" customFormat="1" ht="15.75" x14ac:dyDescent="0.25">
      <c r="A4" s="844" t="s">
        <v>224</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06" t="s">
        <v>48</v>
      </c>
      <c r="H8" s="206" t="s">
        <v>60</v>
      </c>
    </row>
    <row r="9" spans="1:8" s="12" customFormat="1" ht="20.25" customHeight="1" x14ac:dyDescent="0.25">
      <c r="A9" s="10" t="s">
        <v>14</v>
      </c>
      <c r="B9" s="10"/>
      <c r="C9" s="11"/>
      <c r="D9" s="11"/>
      <c r="E9" s="14"/>
      <c r="F9" s="131">
        <f>F11+F18+F26+F49+F57+F65+F81</f>
        <v>53590217.579999998</v>
      </c>
      <c r="G9" s="11"/>
      <c r="H9" s="131">
        <f>H11+H18+H26+H49+H57+H65+H81</f>
        <v>125512840</v>
      </c>
    </row>
    <row r="10" spans="1:8" s="8" customFormat="1" ht="8.25" customHeight="1" x14ac:dyDescent="0.25">
      <c r="A10" s="7"/>
      <c r="B10" s="7"/>
      <c r="C10" s="7"/>
      <c r="D10" s="7"/>
      <c r="E10" s="7"/>
      <c r="F10" s="93"/>
      <c r="G10" s="7"/>
      <c r="H10" s="7"/>
    </row>
    <row r="11" spans="1:8" s="3" customFormat="1" ht="27.75" customHeight="1" x14ac:dyDescent="0.25">
      <c r="A11" s="6" t="s">
        <v>5</v>
      </c>
      <c r="B11" s="831" t="s">
        <v>50</v>
      </c>
      <c r="C11" s="63" t="s">
        <v>21</v>
      </c>
      <c r="D11" s="70" t="s">
        <v>80</v>
      </c>
      <c r="E11" s="70">
        <f>SUM(E12:E17)</f>
        <v>6528</v>
      </c>
      <c r="F11" s="84">
        <f>SUM(F12:F17)</f>
        <v>40951600</v>
      </c>
      <c r="G11" s="70">
        <f>SUM(G12:G17)</f>
        <v>6764</v>
      </c>
      <c r="H11" s="71">
        <f>SUM(H12:H17)</f>
        <v>101460000</v>
      </c>
    </row>
    <row r="12" spans="1:8" s="3" customFormat="1" ht="27.75" customHeight="1" x14ac:dyDescent="0.25">
      <c r="A12" s="6"/>
      <c r="B12" s="832"/>
      <c r="C12" s="63"/>
      <c r="D12" s="4" t="s">
        <v>71</v>
      </c>
      <c r="E12" s="30">
        <v>1152</v>
      </c>
      <c r="F12" s="37">
        <v>5641700</v>
      </c>
      <c r="G12" s="4">
        <v>1184</v>
      </c>
      <c r="H12" s="17">
        <v>17760000</v>
      </c>
    </row>
    <row r="13" spans="1:8" s="2" customFormat="1" ht="14.25" customHeight="1" x14ac:dyDescent="0.25">
      <c r="A13" s="18"/>
      <c r="B13" s="832"/>
      <c r="C13" s="4"/>
      <c r="D13" s="4" t="s">
        <v>72</v>
      </c>
      <c r="E13" s="30">
        <v>934</v>
      </c>
      <c r="F13" s="37">
        <v>6666300</v>
      </c>
      <c r="G13" s="4">
        <v>950</v>
      </c>
      <c r="H13" s="17">
        <v>14250000</v>
      </c>
    </row>
    <row r="14" spans="1:8" s="2" customFormat="1" ht="14.25" customHeight="1" x14ac:dyDescent="0.25">
      <c r="A14" s="972"/>
      <c r="B14" s="832"/>
      <c r="C14" s="4"/>
      <c r="D14" s="4" t="s">
        <v>73</v>
      </c>
      <c r="E14" s="30">
        <v>1254</v>
      </c>
      <c r="F14" s="37">
        <v>8308900</v>
      </c>
      <c r="G14" s="4">
        <v>1312</v>
      </c>
      <c r="H14" s="17">
        <v>19680000</v>
      </c>
    </row>
    <row r="15" spans="1:8" s="2" customFormat="1" ht="14.25" customHeight="1" x14ac:dyDescent="0.25">
      <c r="A15" s="918"/>
      <c r="B15" s="832"/>
      <c r="C15" s="4"/>
      <c r="D15" s="4" t="s">
        <v>74</v>
      </c>
      <c r="E15" s="30">
        <v>1310</v>
      </c>
      <c r="F15" s="37">
        <v>8338200</v>
      </c>
      <c r="G15" s="4">
        <v>1360</v>
      </c>
      <c r="H15" s="17">
        <v>20400000</v>
      </c>
    </row>
    <row r="16" spans="1:8" s="2" customFormat="1" ht="14.25" customHeight="1" x14ac:dyDescent="0.25">
      <c r="A16" s="918"/>
      <c r="B16" s="832"/>
      <c r="C16" s="4"/>
      <c r="D16" s="4" t="s">
        <v>75</v>
      </c>
      <c r="E16" s="30">
        <v>1175</v>
      </c>
      <c r="F16" s="37">
        <v>7502100</v>
      </c>
      <c r="G16" s="4">
        <v>1227</v>
      </c>
      <c r="H16" s="17">
        <v>18405000</v>
      </c>
    </row>
    <row r="17" spans="1:8" s="2" customFormat="1" ht="14.25" customHeight="1" x14ac:dyDescent="0.25">
      <c r="A17" s="918"/>
      <c r="B17" s="832"/>
      <c r="C17" s="4"/>
      <c r="D17" s="4" t="s">
        <v>76</v>
      </c>
      <c r="E17" s="30">
        <v>703</v>
      </c>
      <c r="F17" s="37">
        <v>4494400</v>
      </c>
      <c r="G17" s="4">
        <v>731</v>
      </c>
      <c r="H17" s="17">
        <v>10965000</v>
      </c>
    </row>
    <row r="18" spans="1:8" s="9" customFormat="1" ht="27" customHeight="1" x14ac:dyDescent="0.25">
      <c r="A18" s="6" t="s">
        <v>61</v>
      </c>
      <c r="B18" s="831" t="s">
        <v>62</v>
      </c>
      <c r="C18" s="63" t="s">
        <v>21</v>
      </c>
      <c r="D18" s="70" t="s">
        <v>80</v>
      </c>
      <c r="E18" s="63">
        <f>SUM(E19:E24)</f>
        <v>137</v>
      </c>
      <c r="F18" s="78">
        <f>SUM(F19:F24)</f>
        <v>862100</v>
      </c>
      <c r="G18" s="207"/>
      <c r="H18" s="69"/>
    </row>
    <row r="19" spans="1:8" s="9" customFormat="1" ht="27" customHeight="1" x14ac:dyDescent="0.25">
      <c r="A19" s="198"/>
      <c r="B19" s="832"/>
      <c r="C19" s="63"/>
      <c r="D19" s="4" t="s">
        <v>71</v>
      </c>
      <c r="E19" s="30">
        <v>9</v>
      </c>
      <c r="F19" s="37">
        <v>51600</v>
      </c>
      <c r="G19" s="4"/>
      <c r="H19" s="17"/>
    </row>
    <row r="20" spans="1:8" s="2" customFormat="1" ht="15" customHeight="1" x14ac:dyDescent="0.25">
      <c r="A20" s="208"/>
      <c r="B20" s="832"/>
      <c r="C20" s="4"/>
      <c r="D20" s="4" t="s">
        <v>72</v>
      </c>
      <c r="E20" s="30">
        <v>73</v>
      </c>
      <c r="F20" s="37">
        <v>358500</v>
      </c>
      <c r="G20" s="4"/>
      <c r="H20" s="17"/>
    </row>
    <row r="21" spans="1:8" s="2" customFormat="1" ht="15" customHeight="1" x14ac:dyDescent="0.25">
      <c r="A21" s="209"/>
      <c r="B21" s="832"/>
      <c r="C21" s="4"/>
      <c r="D21" s="4" t="s">
        <v>73</v>
      </c>
      <c r="E21" s="30">
        <v>27</v>
      </c>
      <c r="F21" s="37">
        <v>151600</v>
      </c>
      <c r="G21" s="4"/>
      <c r="H21" s="17"/>
    </row>
    <row r="22" spans="1:8" s="2" customFormat="1" ht="15" customHeight="1" x14ac:dyDescent="0.25">
      <c r="A22" s="209"/>
      <c r="B22" s="832"/>
      <c r="C22" s="4"/>
      <c r="D22" s="4" t="s">
        <v>74</v>
      </c>
      <c r="E22" s="30">
        <v>23</v>
      </c>
      <c r="F22" s="37">
        <v>282200</v>
      </c>
      <c r="G22" s="4"/>
      <c r="H22" s="17"/>
    </row>
    <row r="23" spans="1:8" s="2" customFormat="1" ht="15" customHeight="1" x14ac:dyDescent="0.25">
      <c r="A23" s="209"/>
      <c r="B23" s="832"/>
      <c r="C23" s="4"/>
      <c r="D23" s="4" t="s">
        <v>75</v>
      </c>
      <c r="E23" s="30"/>
      <c r="F23" s="37"/>
      <c r="G23" s="4"/>
      <c r="H23" s="17"/>
    </row>
    <row r="24" spans="1:8" s="2" customFormat="1" ht="15" customHeight="1" x14ac:dyDescent="0.25">
      <c r="A24" s="209"/>
      <c r="B24" s="832"/>
      <c r="C24" s="4"/>
      <c r="D24" s="4" t="s">
        <v>76</v>
      </c>
      <c r="E24" s="30">
        <v>5</v>
      </c>
      <c r="F24" s="37">
        <v>18200</v>
      </c>
      <c r="G24" s="4"/>
      <c r="H24" s="17"/>
    </row>
    <row r="25" spans="1:8" s="8" customFormat="1" ht="5.25" customHeight="1" x14ac:dyDescent="0.25">
      <c r="A25" s="7"/>
      <c r="B25" s="7"/>
      <c r="C25" s="7"/>
      <c r="D25" s="7"/>
      <c r="E25" s="7"/>
      <c r="F25" s="93"/>
      <c r="G25" s="7"/>
      <c r="H25" s="7"/>
    </row>
    <row r="26" spans="1:8" s="9" customFormat="1" ht="27" customHeight="1" x14ac:dyDescent="0.25">
      <c r="A26" s="6" t="s">
        <v>7</v>
      </c>
      <c r="B26" s="831" t="s">
        <v>52</v>
      </c>
      <c r="C26" s="63" t="s">
        <v>53</v>
      </c>
      <c r="D26" s="224" t="s">
        <v>80</v>
      </c>
      <c r="E26" s="63">
        <f>SUM(E27:E32)</f>
        <v>165</v>
      </c>
      <c r="F26" s="78">
        <f>SUM(F27:F32)</f>
        <v>1000000</v>
      </c>
      <c r="G26" s="63">
        <f>SUM(G27:G32)</f>
        <v>200</v>
      </c>
      <c r="H26" s="78">
        <f>SUM(H27:H32)</f>
        <v>1090000</v>
      </c>
    </row>
    <row r="27" spans="1:8" s="9" customFormat="1" ht="27" customHeight="1" x14ac:dyDescent="0.25">
      <c r="A27" s="199"/>
      <c r="B27" s="832"/>
      <c r="C27" s="207"/>
      <c r="D27" s="4" t="s">
        <v>71</v>
      </c>
      <c r="E27" s="30">
        <f>35+25</f>
        <v>60</v>
      </c>
      <c r="F27" s="37">
        <f>175000+125000</f>
        <v>300000</v>
      </c>
      <c r="G27" s="4">
        <v>20</v>
      </c>
      <c r="H27" s="17">
        <v>150000</v>
      </c>
    </row>
    <row r="28" spans="1:8" s="2" customFormat="1" ht="15" customHeight="1" x14ac:dyDescent="0.25">
      <c r="A28" s="4"/>
      <c r="B28" s="832"/>
      <c r="C28" s="4"/>
      <c r="D28" s="4" t="s">
        <v>72</v>
      </c>
      <c r="E28" s="30"/>
      <c r="F28" s="37"/>
      <c r="G28" s="4">
        <v>50</v>
      </c>
      <c r="H28" s="17">
        <v>150000</v>
      </c>
    </row>
    <row r="29" spans="1:8" s="2" customFormat="1" ht="15" customHeight="1" x14ac:dyDescent="0.25">
      <c r="A29" s="4"/>
      <c r="B29" s="832"/>
      <c r="C29" s="4"/>
      <c r="D29" s="4" t="s">
        <v>73</v>
      </c>
      <c r="E29" s="30">
        <f>45</f>
        <v>45</v>
      </c>
      <c r="F29" s="37">
        <f>250000</f>
        <v>250000</v>
      </c>
      <c r="G29" s="4">
        <v>50</v>
      </c>
      <c r="H29" s="17">
        <v>300000</v>
      </c>
    </row>
    <row r="30" spans="1:8" s="2" customFormat="1" ht="15" customHeight="1" x14ac:dyDescent="0.25">
      <c r="A30" s="4"/>
      <c r="B30" s="832"/>
      <c r="C30" s="4"/>
      <c r="D30" s="4" t="s">
        <v>74</v>
      </c>
      <c r="E30" s="30"/>
      <c r="F30" s="37"/>
      <c r="G30" s="4">
        <v>15</v>
      </c>
      <c r="H30" s="17">
        <v>150000</v>
      </c>
    </row>
    <row r="31" spans="1:8" s="2" customFormat="1" ht="15" customHeight="1" x14ac:dyDescent="0.25">
      <c r="A31" s="4"/>
      <c r="B31" s="832"/>
      <c r="C31" s="4"/>
      <c r="D31" s="4" t="s">
        <v>75</v>
      </c>
      <c r="E31" s="30">
        <f>30+30</f>
        <v>60</v>
      </c>
      <c r="F31" s="37">
        <f>150000+300000</f>
        <v>450000</v>
      </c>
      <c r="G31" s="4">
        <v>15</v>
      </c>
      <c r="H31" s="17">
        <v>150000</v>
      </c>
    </row>
    <row r="32" spans="1:8" s="2" customFormat="1" ht="15" customHeight="1" x14ac:dyDescent="0.25">
      <c r="A32" s="208"/>
      <c r="B32" s="832"/>
      <c r="C32" s="208"/>
      <c r="D32" s="208" t="s">
        <v>76</v>
      </c>
      <c r="E32" s="225"/>
      <c r="F32" s="226"/>
      <c r="G32" s="208">
        <v>50</v>
      </c>
      <c r="H32" s="145">
        <v>190000</v>
      </c>
    </row>
    <row r="33" spans="1:8" s="123" customFormat="1" ht="5.25" customHeight="1" x14ac:dyDescent="0.25">
      <c r="A33" s="227"/>
      <c r="B33" s="227"/>
      <c r="C33" s="227"/>
      <c r="D33" s="227"/>
      <c r="E33" s="227"/>
      <c r="F33" s="228"/>
      <c r="G33" s="227"/>
      <c r="H33" s="227"/>
    </row>
    <row r="34" spans="1:8" s="123" customFormat="1" ht="5.25" customHeight="1" x14ac:dyDescent="0.25">
      <c r="F34" s="174"/>
    </row>
    <row r="35" spans="1:8" s="123" customFormat="1" ht="5.25" customHeight="1" x14ac:dyDescent="0.25">
      <c r="F35" s="174"/>
    </row>
    <row r="36" spans="1:8" s="123" customFormat="1" ht="5.25" customHeight="1" x14ac:dyDescent="0.25">
      <c r="F36" s="174"/>
    </row>
    <row r="37" spans="1:8" s="123" customFormat="1" ht="5.25" customHeight="1" x14ac:dyDescent="0.25">
      <c r="F37" s="174"/>
    </row>
    <row r="38" spans="1:8" s="123" customFormat="1" ht="5.25" customHeight="1" x14ac:dyDescent="0.25">
      <c r="F38" s="174"/>
    </row>
    <row r="39" spans="1:8" s="123" customFormat="1" ht="5.25" customHeight="1" x14ac:dyDescent="0.25">
      <c r="F39" s="174"/>
    </row>
    <row r="40" spans="1:8" s="123" customFormat="1" ht="5.25" customHeight="1" x14ac:dyDescent="0.25">
      <c r="F40" s="174"/>
    </row>
    <row r="41" spans="1:8" s="123" customFormat="1" ht="5.25" customHeight="1" x14ac:dyDescent="0.25">
      <c r="F41" s="174"/>
    </row>
    <row r="42" spans="1:8" s="123" customFormat="1" ht="5.25" customHeight="1" x14ac:dyDescent="0.25">
      <c r="F42" s="174"/>
    </row>
    <row r="43" spans="1:8" s="123" customFormat="1" ht="5.25" customHeight="1" x14ac:dyDescent="0.25">
      <c r="F43" s="174"/>
    </row>
    <row r="44" spans="1:8" s="123" customFormat="1" ht="5.25" customHeight="1" x14ac:dyDescent="0.25">
      <c r="F44" s="174"/>
    </row>
    <row r="45" spans="1:8" s="123" customFormat="1" ht="5.25" customHeight="1" x14ac:dyDescent="0.25">
      <c r="F45" s="174"/>
    </row>
    <row r="46" spans="1:8" s="123" customFormat="1" ht="5.25" customHeight="1" x14ac:dyDescent="0.25">
      <c r="F46" s="174"/>
    </row>
    <row r="47" spans="1:8" s="123" customFormat="1" ht="5.25" customHeight="1" x14ac:dyDescent="0.25">
      <c r="F47" s="174"/>
    </row>
    <row r="48" spans="1:8" s="123" customFormat="1" ht="5.25" customHeight="1" x14ac:dyDescent="0.25">
      <c r="F48" s="174"/>
    </row>
    <row r="49" spans="1:8" s="9" customFormat="1" ht="20.25" customHeight="1" x14ac:dyDescent="0.25">
      <c r="A49" s="199" t="s">
        <v>6</v>
      </c>
      <c r="B49" s="831" t="s">
        <v>54</v>
      </c>
      <c r="C49" s="856" t="s">
        <v>20</v>
      </c>
      <c r="D49" s="70" t="s">
        <v>80</v>
      </c>
      <c r="E49" s="119">
        <f>SUM(E50:E55)</f>
        <v>5935</v>
      </c>
      <c r="F49" s="69">
        <f>SUM(F50:F55)</f>
        <v>8106500</v>
      </c>
      <c r="G49" s="207">
        <f>SUM(G50:G55)</f>
        <v>9339</v>
      </c>
      <c r="H49" s="68">
        <f>SUM(H50:H55)</f>
        <v>14568840</v>
      </c>
    </row>
    <row r="50" spans="1:8" s="9" customFormat="1" ht="20.25" customHeight="1" x14ac:dyDescent="0.25">
      <c r="A50" s="6"/>
      <c r="B50" s="832"/>
      <c r="C50" s="857"/>
      <c r="D50" s="4" t="s">
        <v>71</v>
      </c>
      <c r="E50" s="30">
        <v>789</v>
      </c>
      <c r="F50" s="37">
        <v>1240290</v>
      </c>
      <c r="G50" s="4">
        <v>947</v>
      </c>
      <c r="H50" s="17">
        <v>1477320</v>
      </c>
    </row>
    <row r="51" spans="1:8" s="22" customFormat="1" ht="14.25" customHeight="1" x14ac:dyDescent="0.25">
      <c r="A51" s="21"/>
      <c r="B51" s="832"/>
      <c r="C51" s="857"/>
      <c r="D51" s="4" t="s">
        <v>72</v>
      </c>
      <c r="E51" s="30">
        <v>1500</v>
      </c>
      <c r="F51" s="37">
        <v>2358000</v>
      </c>
      <c r="G51" s="4">
        <v>2350</v>
      </c>
      <c r="H51" s="17">
        <v>3666000</v>
      </c>
    </row>
    <row r="52" spans="1:8" s="22" customFormat="1" x14ac:dyDescent="0.25">
      <c r="A52" s="21"/>
      <c r="B52" s="833"/>
      <c r="C52" s="857"/>
      <c r="D52" s="4" t="s">
        <v>73</v>
      </c>
      <c r="E52" s="30"/>
      <c r="F52" s="37"/>
      <c r="G52" s="4">
        <v>865</v>
      </c>
      <c r="H52" s="17">
        <v>1349400</v>
      </c>
    </row>
    <row r="53" spans="1:8" s="22" customFormat="1" x14ac:dyDescent="0.25">
      <c r="A53" s="21"/>
      <c r="B53" s="21"/>
      <c r="C53" s="857"/>
      <c r="D53" s="4" t="s">
        <v>74</v>
      </c>
      <c r="E53" s="30">
        <v>1764</v>
      </c>
      <c r="F53" s="37">
        <v>2772990</v>
      </c>
      <c r="G53" s="4">
        <v>2153</v>
      </c>
      <c r="H53" s="17">
        <v>3358680</v>
      </c>
    </row>
    <row r="54" spans="1:8" s="22" customFormat="1" x14ac:dyDescent="0.25">
      <c r="A54" s="21"/>
      <c r="B54" s="21"/>
      <c r="C54" s="857"/>
      <c r="D54" s="4" t="s">
        <v>75</v>
      </c>
      <c r="E54" s="30">
        <v>1112</v>
      </c>
      <c r="F54" s="37">
        <v>1735220</v>
      </c>
      <c r="G54" s="4">
        <v>1600</v>
      </c>
      <c r="H54" s="17">
        <v>2496000</v>
      </c>
    </row>
    <row r="55" spans="1:8" s="22" customFormat="1" x14ac:dyDescent="0.25">
      <c r="A55" s="21"/>
      <c r="B55" s="21"/>
      <c r="C55" s="857"/>
      <c r="D55" s="4" t="s">
        <v>76</v>
      </c>
      <c r="E55" s="30">
        <v>770</v>
      </c>
      <c r="F55" s="37" t="s">
        <v>209</v>
      </c>
      <c r="G55" s="4">
        <v>1424</v>
      </c>
      <c r="H55" s="17">
        <v>2221440</v>
      </c>
    </row>
    <row r="56" spans="1:8" s="8" customFormat="1" ht="4.5" customHeight="1" x14ac:dyDescent="0.25">
      <c r="A56" s="7"/>
      <c r="B56" s="7"/>
      <c r="C56" s="7"/>
      <c r="D56" s="7"/>
      <c r="E56" s="7"/>
      <c r="F56" s="93"/>
      <c r="G56" s="7"/>
      <c r="H56" s="7"/>
    </row>
    <row r="57" spans="1:8" s="9" customFormat="1" ht="15" customHeight="1" x14ac:dyDescent="0.25">
      <c r="A57" s="6" t="s">
        <v>16</v>
      </c>
      <c r="B57" s="856" t="s">
        <v>55</v>
      </c>
      <c r="C57" s="856" t="s">
        <v>19</v>
      </c>
      <c r="D57" s="70" t="s">
        <v>80</v>
      </c>
      <c r="E57" s="64">
        <f>SUM(E58:E63)</f>
        <v>434</v>
      </c>
      <c r="F57" s="78">
        <f>SUM(F58:F63)</f>
        <v>1818500</v>
      </c>
      <c r="G57" s="63">
        <f>SUM(G58:G63)</f>
        <v>1399</v>
      </c>
      <c r="H57" s="65">
        <f>SUM(H58:H63)</f>
        <v>8394000</v>
      </c>
    </row>
    <row r="58" spans="1:8" s="9" customFormat="1" ht="15" customHeight="1" x14ac:dyDescent="0.25">
      <c r="A58" s="6"/>
      <c r="B58" s="857"/>
      <c r="C58" s="857"/>
      <c r="D58" s="4" t="s">
        <v>71</v>
      </c>
      <c r="E58" s="30">
        <v>70</v>
      </c>
      <c r="F58" s="37">
        <v>298000</v>
      </c>
      <c r="G58" s="20">
        <v>230</v>
      </c>
      <c r="H58" s="17">
        <v>1380000</v>
      </c>
    </row>
    <row r="59" spans="1:8" s="1" customFormat="1" ht="15" customHeight="1" x14ac:dyDescent="0.25">
      <c r="A59" s="5"/>
      <c r="B59" s="857"/>
      <c r="C59" s="857"/>
      <c r="D59" s="4" t="s">
        <v>72</v>
      </c>
      <c r="E59" s="30">
        <v>60</v>
      </c>
      <c r="F59" s="37">
        <v>238500</v>
      </c>
      <c r="G59" s="20">
        <v>225</v>
      </c>
      <c r="H59" s="17">
        <v>1350000</v>
      </c>
    </row>
    <row r="60" spans="1:8" s="1" customFormat="1" ht="15" customHeight="1" x14ac:dyDescent="0.25">
      <c r="A60" s="5"/>
      <c r="B60" s="921"/>
      <c r="C60" s="857"/>
      <c r="D60" s="4" t="s">
        <v>73</v>
      </c>
      <c r="E60" s="30">
        <v>70</v>
      </c>
      <c r="F60" s="37">
        <v>277500</v>
      </c>
      <c r="G60" s="20">
        <v>225</v>
      </c>
      <c r="H60" s="17">
        <v>1350000</v>
      </c>
    </row>
    <row r="61" spans="1:8" s="1" customFormat="1" ht="15" customHeight="1" x14ac:dyDescent="0.25">
      <c r="A61" s="5"/>
      <c r="B61" s="5"/>
      <c r="C61" s="857"/>
      <c r="D61" s="4" t="s">
        <v>74</v>
      </c>
      <c r="E61" s="30">
        <v>106</v>
      </c>
      <c r="F61" s="37">
        <v>477000</v>
      </c>
      <c r="G61" s="20">
        <v>266</v>
      </c>
      <c r="H61" s="17">
        <v>1596000</v>
      </c>
    </row>
    <row r="62" spans="1:8" s="1" customFormat="1" ht="15" customHeight="1" x14ac:dyDescent="0.25">
      <c r="A62" s="5"/>
      <c r="B62" s="5"/>
      <c r="C62" s="857"/>
      <c r="D62" s="4" t="s">
        <v>75</v>
      </c>
      <c r="E62" s="30">
        <v>68</v>
      </c>
      <c r="F62" s="37">
        <v>260500</v>
      </c>
      <c r="G62" s="20">
        <v>223</v>
      </c>
      <c r="H62" s="17">
        <v>1338000</v>
      </c>
    </row>
    <row r="63" spans="1:8" s="1" customFormat="1" ht="15" customHeight="1" x14ac:dyDescent="0.25">
      <c r="A63" s="5"/>
      <c r="B63" s="5"/>
      <c r="C63" s="857"/>
      <c r="D63" s="4" t="s">
        <v>76</v>
      </c>
      <c r="E63" s="30">
        <v>60</v>
      </c>
      <c r="F63" s="37">
        <v>267000</v>
      </c>
      <c r="G63" s="20">
        <v>230</v>
      </c>
      <c r="H63" s="17">
        <v>1380000</v>
      </c>
    </row>
    <row r="64" spans="1:8" s="8" customFormat="1" ht="6.75" customHeight="1" x14ac:dyDescent="0.25">
      <c r="A64" s="7"/>
      <c r="B64" s="7"/>
      <c r="C64" s="7"/>
      <c r="D64" s="7"/>
      <c r="E64" s="7"/>
      <c r="F64" s="93"/>
      <c r="G64" s="7"/>
      <c r="H64" s="7"/>
    </row>
    <row r="65" spans="1:8" s="9" customFormat="1" ht="23.25" customHeight="1" x14ac:dyDescent="0.25">
      <c r="A65" s="926" t="s">
        <v>17</v>
      </c>
      <c r="B65" s="923" t="s">
        <v>56</v>
      </c>
      <c r="C65" s="6" t="s">
        <v>18</v>
      </c>
      <c r="D65" s="70" t="s">
        <v>80</v>
      </c>
      <c r="E65" s="64">
        <f>SUM(E66:E71)</f>
        <v>8</v>
      </c>
      <c r="F65" s="78">
        <f>SUM(F66:F71)</f>
        <v>10672</v>
      </c>
      <c r="G65" s="63"/>
      <c r="H65" s="63"/>
    </row>
    <row r="66" spans="1:8" s="9" customFormat="1" ht="22.5" customHeight="1" x14ac:dyDescent="0.25">
      <c r="A66" s="927"/>
      <c r="B66" s="924"/>
      <c r="C66" s="6"/>
      <c r="D66" s="4" t="s">
        <v>71</v>
      </c>
      <c r="E66" s="44">
        <f>1+1</f>
        <v>2</v>
      </c>
      <c r="F66" s="41">
        <f>5000+172</f>
        <v>5172</v>
      </c>
      <c r="G66" s="5"/>
      <c r="H66" s="4"/>
    </row>
    <row r="67" spans="1:8" s="1" customFormat="1" x14ac:dyDescent="0.25">
      <c r="A67" s="5"/>
      <c r="B67" s="924"/>
      <c r="C67" s="5"/>
      <c r="D67" s="4" t="s">
        <v>72</v>
      </c>
      <c r="E67" s="44">
        <f>1</f>
        <v>1</v>
      </c>
      <c r="F67" s="38">
        <f>1500</f>
        <v>1500</v>
      </c>
      <c r="G67" s="5"/>
      <c r="H67" s="4"/>
    </row>
    <row r="68" spans="1:8" s="1" customFormat="1" x14ac:dyDescent="0.25">
      <c r="A68" s="5"/>
      <c r="B68" s="924"/>
      <c r="C68" s="5"/>
      <c r="D68" s="4" t="s">
        <v>73</v>
      </c>
      <c r="E68" s="44">
        <f>2+1</f>
        <v>3</v>
      </c>
      <c r="F68" s="39">
        <f>1200+1000</f>
        <v>2200</v>
      </c>
      <c r="G68" s="5"/>
      <c r="H68" s="4"/>
    </row>
    <row r="69" spans="1:8" s="1" customFormat="1" x14ac:dyDescent="0.25">
      <c r="A69" s="5"/>
      <c r="B69" s="924"/>
      <c r="C69" s="5"/>
      <c r="D69" s="4" t="s">
        <v>74</v>
      </c>
      <c r="E69" s="44">
        <f>1</f>
        <v>1</v>
      </c>
      <c r="F69" s="39">
        <f>300</f>
        <v>300</v>
      </c>
      <c r="G69" s="5"/>
      <c r="H69" s="4"/>
    </row>
    <row r="70" spans="1:8" s="1" customFormat="1" x14ac:dyDescent="0.25">
      <c r="A70" s="5"/>
      <c r="B70" s="924"/>
      <c r="C70" s="5"/>
      <c r="D70" s="4" t="s">
        <v>75</v>
      </c>
      <c r="E70" s="44"/>
      <c r="F70" s="39"/>
      <c r="G70" s="5"/>
      <c r="H70" s="4"/>
    </row>
    <row r="71" spans="1:8" s="1" customFormat="1" x14ac:dyDescent="0.25">
      <c r="A71" s="5"/>
      <c r="B71" s="973"/>
      <c r="C71" s="5"/>
      <c r="D71" s="4" t="s">
        <v>76</v>
      </c>
      <c r="E71" s="44">
        <f>1</f>
        <v>1</v>
      </c>
      <c r="F71" s="40">
        <f>1500</f>
        <v>1500</v>
      </c>
      <c r="G71" s="5"/>
      <c r="H71" s="4"/>
    </row>
    <row r="72" spans="1:8" s="8" customFormat="1" ht="8.25" customHeight="1" x14ac:dyDescent="0.25">
      <c r="A72" s="7"/>
      <c r="B72" s="7"/>
      <c r="C72" s="7"/>
      <c r="D72" s="7"/>
      <c r="E72" s="7"/>
      <c r="F72" s="93"/>
      <c r="G72" s="7"/>
      <c r="H72" s="7"/>
    </row>
    <row r="73" spans="1:8" s="9" customFormat="1" ht="34.5" hidden="1" customHeight="1" x14ac:dyDescent="0.25">
      <c r="A73" s="6" t="s">
        <v>22</v>
      </c>
      <c r="B73" s="831" t="s">
        <v>57</v>
      </c>
      <c r="C73" s="6" t="s">
        <v>37</v>
      </c>
      <c r="D73" s="6"/>
      <c r="E73" s="42">
        <f>SUM(E74:E79)</f>
        <v>227</v>
      </c>
      <c r="F73" s="94">
        <f>SUM(F74:F79)</f>
        <v>562960</v>
      </c>
      <c r="G73" s="6"/>
      <c r="H73" s="6"/>
    </row>
    <row r="74" spans="1:8" s="1" customFormat="1" ht="15" hidden="1" customHeight="1" x14ac:dyDescent="0.25">
      <c r="A74" s="972" t="s">
        <v>35</v>
      </c>
      <c r="B74" s="832"/>
      <c r="C74" s="5"/>
      <c r="D74" s="4" t="s">
        <v>42</v>
      </c>
      <c r="E74" s="44"/>
      <c r="F74" s="41"/>
      <c r="G74" s="5"/>
      <c r="H74" s="4" t="s">
        <v>8</v>
      </c>
    </row>
    <row r="75" spans="1:8" s="1" customFormat="1" ht="15" hidden="1" customHeight="1" x14ac:dyDescent="0.25">
      <c r="A75" s="918"/>
      <c r="B75" s="833"/>
      <c r="C75" s="5"/>
      <c r="D75" s="4" t="s">
        <v>43</v>
      </c>
      <c r="E75" s="44"/>
      <c r="F75" s="38"/>
      <c r="G75" s="5"/>
      <c r="H75" s="4" t="s">
        <v>9</v>
      </c>
    </row>
    <row r="76" spans="1:8" s="1" customFormat="1" ht="15" hidden="1" customHeight="1" x14ac:dyDescent="0.25">
      <c r="A76" s="918"/>
      <c r="B76" s="201"/>
      <c r="C76" s="5"/>
      <c r="D76" s="4" t="s">
        <v>44</v>
      </c>
      <c r="E76" s="45">
        <v>227</v>
      </c>
      <c r="F76" s="39">
        <v>562960</v>
      </c>
      <c r="G76" s="5"/>
      <c r="H76" s="4" t="s">
        <v>10</v>
      </c>
    </row>
    <row r="77" spans="1:8" s="1" customFormat="1" ht="15" hidden="1" customHeight="1" x14ac:dyDescent="0.25">
      <c r="A77" s="918"/>
      <c r="B77" s="201"/>
      <c r="C77" s="5"/>
      <c r="D77" s="4" t="s">
        <v>45</v>
      </c>
      <c r="E77" s="44"/>
      <c r="F77" s="39"/>
      <c r="G77" s="5"/>
      <c r="H77" s="4" t="s">
        <v>11</v>
      </c>
    </row>
    <row r="78" spans="1:8" s="1" customFormat="1" ht="15" hidden="1" customHeight="1" x14ac:dyDescent="0.25">
      <c r="A78" s="918"/>
      <c r="B78" s="201"/>
      <c r="C78" s="5"/>
      <c r="D78" s="4" t="s">
        <v>46</v>
      </c>
      <c r="E78" s="44"/>
      <c r="F78" s="39"/>
      <c r="G78" s="5"/>
      <c r="H78" s="4" t="s">
        <v>12</v>
      </c>
    </row>
    <row r="79" spans="1:8" s="1" customFormat="1" ht="15" hidden="1" customHeight="1" x14ac:dyDescent="0.25">
      <c r="A79" s="918"/>
      <c r="B79" s="201"/>
      <c r="C79" s="5"/>
      <c r="D79" s="4" t="s">
        <v>47</v>
      </c>
      <c r="E79" s="44"/>
      <c r="F79" s="40"/>
      <c r="G79" s="5"/>
      <c r="H79" s="4" t="s">
        <v>13</v>
      </c>
    </row>
    <row r="80" spans="1:8" s="8" customFormat="1" ht="8.25" hidden="1" customHeight="1" x14ac:dyDescent="0.25">
      <c r="A80" s="7"/>
      <c r="B80" s="7"/>
      <c r="C80" s="7"/>
      <c r="D80" s="7"/>
      <c r="E80" s="7"/>
      <c r="F80" s="93"/>
      <c r="G80" s="7"/>
      <c r="H80" s="7"/>
    </row>
    <row r="81" spans="1:9" s="9" customFormat="1" ht="24.75" customHeight="1" x14ac:dyDescent="0.25">
      <c r="A81" s="6" t="s">
        <v>23</v>
      </c>
      <c r="B81" s="831" t="s">
        <v>58</v>
      </c>
      <c r="C81" s="6" t="s">
        <v>24</v>
      </c>
      <c r="D81" s="70" t="s">
        <v>80</v>
      </c>
      <c r="E81" s="98">
        <f>SUM(E82:E87)</f>
        <v>2578</v>
      </c>
      <c r="F81" s="99">
        <f>SUM(F82:F87)</f>
        <v>840845.58000000007</v>
      </c>
      <c r="G81" s="89"/>
      <c r="H81" s="6"/>
      <c r="I81" s="66"/>
    </row>
    <row r="82" spans="1:9" s="9" customFormat="1" ht="21.75" customHeight="1" x14ac:dyDescent="0.25">
      <c r="A82" s="6"/>
      <c r="B82" s="832"/>
      <c r="C82" s="6"/>
      <c r="D82" s="4" t="s">
        <v>71</v>
      </c>
      <c r="E82" s="44"/>
      <c r="F82" s="41"/>
      <c r="G82" s="15"/>
      <c r="H82" s="15"/>
      <c r="I82" s="66"/>
    </row>
    <row r="83" spans="1:9" s="9" customFormat="1" ht="21.75" customHeight="1" x14ac:dyDescent="0.25">
      <c r="A83" s="6"/>
      <c r="B83" s="832"/>
      <c r="C83" s="6"/>
      <c r="D83" s="4" t="s">
        <v>72</v>
      </c>
      <c r="E83" s="44">
        <f>1500</f>
        <v>1500</v>
      </c>
      <c r="F83" s="41">
        <f>427348.88</f>
        <v>427348.88</v>
      </c>
      <c r="G83" s="15"/>
      <c r="H83" s="15"/>
      <c r="I83" s="66"/>
    </row>
    <row r="84" spans="1:9" s="16" customFormat="1" x14ac:dyDescent="0.25">
      <c r="A84" s="15"/>
      <c r="B84" s="832"/>
      <c r="C84" s="15"/>
      <c r="D84" s="4" t="s">
        <v>73</v>
      </c>
      <c r="E84" s="44"/>
      <c r="F84" s="38"/>
      <c r="G84" s="5"/>
      <c r="H84" s="4"/>
    </row>
    <row r="85" spans="1:9" s="1" customFormat="1" x14ac:dyDescent="0.25">
      <c r="A85" s="5"/>
      <c r="B85" s="832"/>
      <c r="C85" s="5"/>
      <c r="D85" s="4" t="s">
        <v>74</v>
      </c>
      <c r="E85" s="44"/>
      <c r="F85" s="39"/>
      <c r="G85" s="5"/>
      <c r="H85" s="4"/>
    </row>
    <row r="86" spans="1:9" s="1" customFormat="1" x14ac:dyDescent="0.25">
      <c r="A86" s="5"/>
      <c r="B86" s="832"/>
      <c r="C86" s="5"/>
      <c r="D86" s="4" t="s">
        <v>75</v>
      </c>
      <c r="E86" s="44">
        <f>1000</f>
        <v>1000</v>
      </c>
      <c r="F86" s="39">
        <f>393797.78</f>
        <v>393797.78</v>
      </c>
      <c r="G86" s="5"/>
      <c r="H86" s="4"/>
    </row>
    <row r="87" spans="1:9" s="1" customFormat="1" x14ac:dyDescent="0.25">
      <c r="A87" s="5"/>
      <c r="B87" s="832"/>
      <c r="C87" s="5"/>
      <c r="D87" s="4" t="s">
        <v>76</v>
      </c>
      <c r="E87" s="44">
        <f>78</f>
        <v>78</v>
      </c>
      <c r="F87" s="39">
        <f>19698.92</f>
        <v>19698.919999999998</v>
      </c>
      <c r="G87" s="5"/>
      <c r="H87" s="4"/>
    </row>
    <row r="88" spans="1:9" s="1" customFormat="1" x14ac:dyDescent="0.25">
      <c r="A88" s="5"/>
      <c r="B88" s="833"/>
      <c r="C88" s="5"/>
      <c r="D88" s="4" t="s">
        <v>46</v>
      </c>
      <c r="E88" s="44">
        <f>1000</f>
        <v>1000</v>
      </c>
      <c r="F88" s="163">
        <f>263325.74</f>
        <v>263325.74</v>
      </c>
      <c r="G88" s="5"/>
      <c r="H88" s="4"/>
    </row>
    <row r="89" spans="1:9" x14ac:dyDescent="0.25">
      <c r="A89" t="s">
        <v>26</v>
      </c>
      <c r="B89" t="s">
        <v>28</v>
      </c>
      <c r="D89" t="s">
        <v>31</v>
      </c>
      <c r="F89"/>
    </row>
    <row r="90" spans="1:9" x14ac:dyDescent="0.25">
      <c r="F90"/>
    </row>
    <row r="91" spans="1:9" x14ac:dyDescent="0.25">
      <c r="F91"/>
    </row>
    <row r="92" spans="1:9" x14ac:dyDescent="0.25">
      <c r="F92"/>
    </row>
    <row r="93" spans="1:9" x14ac:dyDescent="0.25">
      <c r="A93" t="s">
        <v>27</v>
      </c>
      <c r="B93" t="s">
        <v>29</v>
      </c>
      <c r="D93" t="s">
        <v>32</v>
      </c>
      <c r="F93"/>
    </row>
    <row r="94" spans="1:9" x14ac:dyDescent="0.25">
      <c r="A94" t="s">
        <v>223</v>
      </c>
      <c r="B94" t="s">
        <v>30</v>
      </c>
      <c r="D94" t="s">
        <v>33</v>
      </c>
      <c r="F94"/>
    </row>
  </sheetData>
  <mergeCells count="24">
    <mergeCell ref="B11:B17"/>
    <mergeCell ref="A14:A17"/>
    <mergeCell ref="B18:B24"/>
    <mergeCell ref="A1:H1"/>
    <mergeCell ref="A2:H2"/>
    <mergeCell ref="A4:H4"/>
    <mergeCell ref="A5:H5"/>
    <mergeCell ref="A7:A8"/>
    <mergeCell ref="B7:B8"/>
    <mergeCell ref="C7:C8"/>
    <mergeCell ref="D7:D8"/>
    <mergeCell ref="E7:E8"/>
    <mergeCell ref="F7:F8"/>
    <mergeCell ref="G7:H7"/>
    <mergeCell ref="B26:B32"/>
    <mergeCell ref="B81:B88"/>
    <mergeCell ref="B57:B60"/>
    <mergeCell ref="C57:C63"/>
    <mergeCell ref="A65:A66"/>
    <mergeCell ref="B65:B71"/>
    <mergeCell ref="B73:B75"/>
    <mergeCell ref="A74:A79"/>
    <mergeCell ref="B49:B52"/>
    <mergeCell ref="C49:C55"/>
  </mergeCells>
  <printOptions horizontalCentered="1"/>
  <pageMargins left="0.52" right="0.7" top="0.68" bottom="0.69" header="0.3" footer="0.4"/>
  <pageSetup paperSize="9" scale="80" orientation="landscape" verticalDpi="300" r:id="rId1"/>
  <headerFooter>
    <oddFooter>&amp;L2nd Dist of Bataan
&amp;CPage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A34" workbookViewId="0">
      <selection activeCell="A6" sqref="A6:F12"/>
    </sheetView>
  </sheetViews>
  <sheetFormatPr defaultRowHeight="15" x14ac:dyDescent="0.25"/>
  <cols>
    <col min="1" max="1" width="30.85546875" customWidth="1"/>
    <col min="2" max="2" width="42" customWidth="1"/>
    <col min="3" max="3" width="13.42578125" customWidth="1"/>
    <col min="4" max="4" width="20.28515625" customWidth="1"/>
    <col min="5" max="5" width="10.85546875" customWidth="1"/>
    <col min="6" max="6" width="16.42578125" style="97" customWidth="1"/>
    <col min="7" max="7" width="11.140625" customWidth="1"/>
    <col min="8" max="8" width="19.5703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04"/>
      <c r="B3" s="204"/>
      <c r="C3" s="204"/>
      <c r="D3" s="204"/>
      <c r="E3" s="204"/>
      <c r="F3" s="90"/>
      <c r="G3" s="204"/>
      <c r="H3" s="204"/>
    </row>
    <row r="4" spans="1:8" s="47" customFormat="1" ht="15.75" x14ac:dyDescent="0.25">
      <c r="A4" s="844" t="s">
        <v>226</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06" t="s">
        <v>48</v>
      </c>
      <c r="H8" s="206" t="s">
        <v>60</v>
      </c>
    </row>
    <row r="9" spans="1:8" s="12" customFormat="1" ht="20.25" customHeight="1" x14ac:dyDescent="0.25">
      <c r="A9" s="10" t="s">
        <v>14</v>
      </c>
      <c r="B9" s="10"/>
      <c r="C9" s="11"/>
      <c r="D9" s="11"/>
      <c r="E9" s="14"/>
      <c r="F9" s="139">
        <f>F11+F19+F27+F35+F43+F51+F90</f>
        <v>97363556</v>
      </c>
      <c r="G9" s="11"/>
      <c r="H9" s="139">
        <f>H11+H19+H27+H35+H43+H51+H90</f>
        <v>213010680</v>
      </c>
    </row>
    <row r="10" spans="1:8" s="8" customFormat="1" ht="8.25" customHeight="1" x14ac:dyDescent="0.25">
      <c r="A10" s="7"/>
      <c r="B10" s="7"/>
      <c r="C10" s="7"/>
      <c r="D10" s="7"/>
      <c r="E10" s="7"/>
      <c r="F10" s="93"/>
      <c r="G10" s="7"/>
      <c r="H10" s="7"/>
    </row>
    <row r="11" spans="1:8" s="3" customFormat="1" ht="19.5" customHeight="1" x14ac:dyDescent="0.25">
      <c r="A11" s="926" t="s">
        <v>5</v>
      </c>
      <c r="B11" s="831" t="s">
        <v>50</v>
      </c>
      <c r="C11" s="967" t="s">
        <v>21</v>
      </c>
      <c r="D11" s="70" t="s">
        <v>79</v>
      </c>
      <c r="E11" s="70">
        <f>SUM(E12:E17)</f>
        <v>11381</v>
      </c>
      <c r="F11" s="84">
        <f>SUM(F12:F17)</f>
        <v>78909000</v>
      </c>
      <c r="G11" s="70">
        <f>SUM(G12:G17)</f>
        <v>12350</v>
      </c>
      <c r="H11" s="71">
        <f>SUM(H12:H17)</f>
        <v>185250000</v>
      </c>
    </row>
    <row r="12" spans="1:8" s="3" customFormat="1" ht="21.75" customHeight="1" x14ac:dyDescent="0.25">
      <c r="A12" s="1037"/>
      <c r="B12" s="832"/>
      <c r="C12" s="1038"/>
      <c r="D12" s="83" t="s">
        <v>91</v>
      </c>
      <c r="E12" s="30">
        <v>1536</v>
      </c>
      <c r="F12" s="37">
        <v>9779500</v>
      </c>
      <c r="G12" s="4">
        <v>1600</v>
      </c>
      <c r="H12" s="17">
        <v>24000000</v>
      </c>
    </row>
    <row r="13" spans="1:8" s="2" customFormat="1" ht="14.25" customHeight="1" x14ac:dyDescent="0.25">
      <c r="A13" s="191"/>
      <c r="B13" s="832"/>
      <c r="C13" s="209"/>
      <c r="D13" s="83" t="s">
        <v>92</v>
      </c>
      <c r="E13" s="30">
        <v>1729</v>
      </c>
      <c r="F13" s="37">
        <v>12013300</v>
      </c>
      <c r="G13" s="4">
        <v>1799</v>
      </c>
      <c r="H13" s="17">
        <v>26985000</v>
      </c>
    </row>
    <row r="14" spans="1:8" s="2" customFormat="1" ht="14.25" customHeight="1" x14ac:dyDescent="0.25">
      <c r="A14" s="918"/>
      <c r="B14" s="832"/>
      <c r="C14" s="209"/>
      <c r="D14" s="83" t="s">
        <v>93</v>
      </c>
      <c r="E14" s="30">
        <v>2682</v>
      </c>
      <c r="F14" s="37">
        <v>18683200</v>
      </c>
      <c r="G14" s="4">
        <v>3258</v>
      </c>
      <c r="H14" s="17">
        <v>48870000</v>
      </c>
    </row>
    <row r="15" spans="1:8" s="2" customFormat="1" ht="14.25" customHeight="1" x14ac:dyDescent="0.25">
      <c r="A15" s="918"/>
      <c r="B15" s="832"/>
      <c r="C15" s="209"/>
      <c r="D15" s="83" t="s">
        <v>94</v>
      </c>
      <c r="E15" s="30">
        <v>2379</v>
      </c>
      <c r="F15" s="37">
        <v>16348200</v>
      </c>
      <c r="G15" s="4">
        <v>2492</v>
      </c>
      <c r="H15" s="17">
        <v>37380000</v>
      </c>
    </row>
    <row r="16" spans="1:8" s="2" customFormat="1" ht="14.25" customHeight="1" x14ac:dyDescent="0.25">
      <c r="A16" s="918"/>
      <c r="B16" s="832"/>
      <c r="C16" s="209"/>
      <c r="D16" s="83" t="s">
        <v>95</v>
      </c>
      <c r="E16" s="30">
        <v>1224</v>
      </c>
      <c r="F16" s="37">
        <v>8670700</v>
      </c>
      <c r="G16" s="4">
        <v>1258</v>
      </c>
      <c r="H16" s="17">
        <v>18870000</v>
      </c>
    </row>
    <row r="17" spans="1:8" s="2" customFormat="1" ht="14.25" customHeight="1" x14ac:dyDescent="0.25">
      <c r="A17" s="1063"/>
      <c r="B17" s="832"/>
      <c r="C17" s="210"/>
      <c r="D17" s="83" t="s">
        <v>96</v>
      </c>
      <c r="E17" s="30">
        <v>1831</v>
      </c>
      <c r="F17" s="37">
        <v>13414100</v>
      </c>
      <c r="G17" s="4">
        <v>1943</v>
      </c>
      <c r="H17" s="17">
        <v>29145000</v>
      </c>
    </row>
    <row r="18" spans="1:8" s="8" customFormat="1" ht="8.25" customHeight="1" x14ac:dyDescent="0.25">
      <c r="A18" s="7"/>
      <c r="B18" s="7"/>
      <c r="C18" s="7"/>
      <c r="D18" s="7"/>
      <c r="E18" s="7"/>
      <c r="F18" s="93"/>
      <c r="G18" s="7"/>
      <c r="H18" s="7"/>
    </row>
    <row r="19" spans="1:8" s="9" customFormat="1" ht="20.25" customHeight="1" x14ac:dyDescent="0.25">
      <c r="A19" s="926" t="s">
        <v>61</v>
      </c>
      <c r="B19" s="831" t="s">
        <v>62</v>
      </c>
      <c r="C19" s="967" t="s">
        <v>21</v>
      </c>
      <c r="D19" s="70" t="s">
        <v>79</v>
      </c>
      <c r="E19" s="70">
        <f>SUM(E20:E25)</f>
        <v>161</v>
      </c>
      <c r="F19" s="84">
        <f>SUM(F20:F25)</f>
        <v>319200</v>
      </c>
      <c r="G19" s="70">
        <f>SUM(G20:G25)</f>
        <v>0</v>
      </c>
      <c r="H19" s="71">
        <f>SUM(H20:H25)</f>
        <v>0</v>
      </c>
    </row>
    <row r="20" spans="1:8" s="9" customFormat="1" ht="21" customHeight="1" x14ac:dyDescent="0.25">
      <c r="A20" s="1037"/>
      <c r="B20" s="832"/>
      <c r="C20" s="1038"/>
      <c r="D20" s="83" t="s">
        <v>91</v>
      </c>
      <c r="E20" s="30"/>
      <c r="F20" s="37"/>
      <c r="G20" s="4"/>
      <c r="H20" s="17"/>
    </row>
    <row r="21" spans="1:8" s="2" customFormat="1" ht="15" customHeight="1" x14ac:dyDescent="0.25">
      <c r="A21" s="209"/>
      <c r="B21" s="832"/>
      <c r="C21" s="209"/>
      <c r="D21" s="83" t="s">
        <v>92</v>
      </c>
      <c r="E21" s="30"/>
      <c r="F21" s="37"/>
      <c r="G21" s="4"/>
      <c r="H21" s="17"/>
    </row>
    <row r="22" spans="1:8" s="2" customFormat="1" ht="15" customHeight="1" x14ac:dyDescent="0.25">
      <c r="A22" s="209"/>
      <c r="B22" s="832"/>
      <c r="C22" s="209"/>
      <c r="D22" s="83" t="s">
        <v>93</v>
      </c>
      <c r="E22" s="30"/>
      <c r="F22" s="37"/>
      <c r="G22" s="4"/>
      <c r="H22" s="17"/>
    </row>
    <row r="23" spans="1:8" s="2" customFormat="1" ht="15" customHeight="1" x14ac:dyDescent="0.25">
      <c r="A23" s="209"/>
      <c r="B23" s="832"/>
      <c r="C23" s="209"/>
      <c r="D23" s="83" t="s">
        <v>94</v>
      </c>
      <c r="E23" s="30">
        <f>148</f>
        <v>148</v>
      </c>
      <c r="F23" s="37">
        <f>292200</f>
        <v>292200</v>
      </c>
      <c r="G23" s="4"/>
      <c r="H23" s="17"/>
    </row>
    <row r="24" spans="1:8" s="2" customFormat="1" ht="15" customHeight="1" x14ac:dyDescent="0.25">
      <c r="A24" s="209"/>
      <c r="B24" s="832"/>
      <c r="C24" s="209"/>
      <c r="D24" s="83" t="s">
        <v>95</v>
      </c>
      <c r="E24" s="30">
        <f>13</f>
        <v>13</v>
      </c>
      <c r="F24" s="37">
        <f>27000</f>
        <v>27000</v>
      </c>
      <c r="G24" s="4"/>
      <c r="H24" s="17"/>
    </row>
    <row r="25" spans="1:8" s="2" customFormat="1" ht="15" customHeight="1" x14ac:dyDescent="0.25">
      <c r="A25" s="209"/>
      <c r="B25" s="832"/>
      <c r="C25" s="210"/>
      <c r="D25" s="83" t="s">
        <v>96</v>
      </c>
      <c r="E25" s="30"/>
      <c r="F25" s="37"/>
      <c r="G25" s="4"/>
      <c r="H25" s="17"/>
    </row>
    <row r="26" spans="1:8" s="8" customFormat="1" ht="8.25" customHeight="1" x14ac:dyDescent="0.25">
      <c r="A26" s="7"/>
      <c r="B26" s="7"/>
      <c r="C26" s="7"/>
      <c r="D26" s="7"/>
      <c r="E26" s="7"/>
      <c r="F26" s="93"/>
      <c r="G26" s="7"/>
      <c r="H26" s="7"/>
    </row>
    <row r="27" spans="1:8" s="9" customFormat="1" ht="20.25" customHeight="1" x14ac:dyDescent="0.25">
      <c r="A27" s="926" t="s">
        <v>7</v>
      </c>
      <c r="B27" s="832" t="s">
        <v>52</v>
      </c>
      <c r="C27" s="967" t="s">
        <v>53</v>
      </c>
      <c r="D27" s="70" t="s">
        <v>79</v>
      </c>
      <c r="E27" s="207">
        <f>SUM(E28:E33)</f>
        <v>214</v>
      </c>
      <c r="F27" s="69">
        <f>SUM(F28:F33)</f>
        <v>1635000</v>
      </c>
      <c r="G27" s="207">
        <f>SUM(G28:G33)</f>
        <v>265</v>
      </c>
      <c r="H27" s="68">
        <f>SUM(H28:H33)</f>
        <v>1500000</v>
      </c>
    </row>
    <row r="28" spans="1:8" s="9" customFormat="1" ht="18" customHeight="1" x14ac:dyDescent="0.25">
      <c r="A28" s="1037"/>
      <c r="B28" s="832"/>
      <c r="C28" s="1038"/>
      <c r="D28" s="83" t="s">
        <v>91</v>
      </c>
      <c r="E28" s="30"/>
      <c r="F28" s="37"/>
      <c r="G28" s="4">
        <v>15</v>
      </c>
      <c r="H28" s="17">
        <v>150000</v>
      </c>
    </row>
    <row r="29" spans="1:8" s="2" customFormat="1" ht="15" customHeight="1" x14ac:dyDescent="0.25">
      <c r="A29" s="209"/>
      <c r="B29" s="832"/>
      <c r="C29" s="209"/>
      <c r="D29" s="83" t="s">
        <v>92</v>
      </c>
      <c r="E29" s="30">
        <f>1+65</f>
        <v>66</v>
      </c>
      <c r="F29" s="37">
        <f>10000+575000</f>
        <v>585000</v>
      </c>
      <c r="G29" s="4">
        <v>60</v>
      </c>
      <c r="H29" s="17">
        <v>300000</v>
      </c>
    </row>
    <row r="30" spans="1:8" s="2" customFormat="1" ht="15" customHeight="1" x14ac:dyDescent="0.25">
      <c r="A30" s="209"/>
      <c r="B30" s="832"/>
      <c r="C30" s="209"/>
      <c r="D30" s="83" t="s">
        <v>93</v>
      </c>
      <c r="E30" s="30">
        <f>70+70</f>
        <v>140</v>
      </c>
      <c r="F30" s="37">
        <f>575000+400000</f>
        <v>975000</v>
      </c>
      <c r="G30" s="4">
        <v>60</v>
      </c>
      <c r="H30" s="17">
        <v>300000</v>
      </c>
    </row>
    <row r="31" spans="1:8" s="2" customFormat="1" ht="15" customHeight="1" x14ac:dyDescent="0.25">
      <c r="A31" s="209"/>
      <c r="B31" s="832"/>
      <c r="C31" s="209"/>
      <c r="D31" s="83" t="s">
        <v>94</v>
      </c>
      <c r="E31" s="30">
        <f>3</f>
        <v>3</v>
      </c>
      <c r="F31" s="37">
        <f>30000</f>
        <v>30000</v>
      </c>
      <c r="G31" s="4">
        <v>20</v>
      </c>
      <c r="H31" s="17">
        <v>150000</v>
      </c>
    </row>
    <row r="32" spans="1:8" s="2" customFormat="1" ht="15" customHeight="1" x14ac:dyDescent="0.25">
      <c r="A32" s="209"/>
      <c r="B32" s="832"/>
      <c r="C32" s="209"/>
      <c r="D32" s="83" t="s">
        <v>95</v>
      </c>
      <c r="E32" s="30">
        <f>3</f>
        <v>3</v>
      </c>
      <c r="F32" s="37">
        <f>30000</f>
        <v>30000</v>
      </c>
      <c r="G32" s="4">
        <v>60</v>
      </c>
      <c r="H32" s="17">
        <v>300000</v>
      </c>
    </row>
    <row r="33" spans="1:8" s="2" customFormat="1" ht="15" customHeight="1" x14ac:dyDescent="0.25">
      <c r="A33" s="210"/>
      <c r="B33" s="832"/>
      <c r="C33" s="210"/>
      <c r="D33" s="83" t="s">
        <v>96</v>
      </c>
      <c r="E33" s="30">
        <f>2</f>
        <v>2</v>
      </c>
      <c r="F33" s="37">
        <f>15000</f>
        <v>15000</v>
      </c>
      <c r="G33" s="4">
        <v>50</v>
      </c>
      <c r="H33" s="17">
        <v>300000</v>
      </c>
    </row>
    <row r="34" spans="1:8" s="8" customFormat="1" ht="8.25" customHeight="1" x14ac:dyDescent="0.25">
      <c r="A34" s="7"/>
      <c r="B34" s="7"/>
      <c r="C34" s="7"/>
      <c r="D34" s="7"/>
      <c r="E34" s="7"/>
      <c r="F34" s="93"/>
      <c r="G34" s="7"/>
      <c r="H34" s="7"/>
    </row>
    <row r="35" spans="1:8" s="9" customFormat="1" ht="15.75" customHeight="1" x14ac:dyDescent="0.25">
      <c r="A35" s="926" t="s">
        <v>6</v>
      </c>
      <c r="B35" s="831" t="s">
        <v>54</v>
      </c>
      <c r="C35" s="856" t="s">
        <v>20</v>
      </c>
      <c r="D35" s="70" t="s">
        <v>79</v>
      </c>
      <c r="E35" s="64">
        <f>SUM(E36:E41)</f>
        <v>8409</v>
      </c>
      <c r="F35" s="78">
        <f>SUM(F36:F41)</f>
        <v>13019321</v>
      </c>
      <c r="G35" s="64">
        <f>SUM(G36:G41)</f>
        <v>11103</v>
      </c>
      <c r="H35" s="78">
        <f>SUM(H36:H41)</f>
        <v>17320680</v>
      </c>
    </row>
    <row r="36" spans="1:8" s="9" customFormat="1" ht="20.25" customHeight="1" x14ac:dyDescent="0.25">
      <c r="A36" s="1037"/>
      <c r="B36" s="832"/>
      <c r="C36" s="857"/>
      <c r="D36" s="83" t="s">
        <v>91</v>
      </c>
      <c r="E36" s="30">
        <v>1148</v>
      </c>
      <c r="F36" s="37">
        <v>1804680</v>
      </c>
      <c r="G36" s="4">
        <v>1377</v>
      </c>
      <c r="H36" s="17">
        <v>2148120</v>
      </c>
    </row>
    <row r="37" spans="1:8" s="22" customFormat="1" ht="14.25" customHeight="1" x14ac:dyDescent="0.25">
      <c r="A37" s="230"/>
      <c r="B37" s="832"/>
      <c r="C37" s="857"/>
      <c r="D37" s="83" t="s">
        <v>92</v>
      </c>
      <c r="E37" s="30">
        <f>1164+252</f>
        <v>1416</v>
      </c>
      <c r="F37" s="37">
        <f>1829840+196501</f>
        <v>2026341</v>
      </c>
      <c r="G37" s="4">
        <v>1450</v>
      </c>
      <c r="H37" s="17">
        <v>2262000</v>
      </c>
    </row>
    <row r="38" spans="1:8" s="22" customFormat="1" x14ac:dyDescent="0.25">
      <c r="A38" s="230"/>
      <c r="B38" s="832"/>
      <c r="C38" s="857"/>
      <c r="D38" s="83" t="s">
        <v>93</v>
      </c>
      <c r="E38" s="30">
        <v>3207</v>
      </c>
      <c r="F38" s="37">
        <v>5041370</v>
      </c>
      <c r="G38" s="4">
        <v>3900</v>
      </c>
      <c r="H38" s="17">
        <v>6084000</v>
      </c>
    </row>
    <row r="39" spans="1:8" s="22" customFormat="1" x14ac:dyDescent="0.25">
      <c r="A39" s="230"/>
      <c r="B39" s="230"/>
      <c r="C39" s="857"/>
      <c r="D39" s="83" t="s">
        <v>94</v>
      </c>
      <c r="E39" s="30">
        <f>1238</f>
        <v>1238</v>
      </c>
      <c r="F39" s="37">
        <f>1946130</f>
        <v>1946130</v>
      </c>
      <c r="G39" s="4">
        <v>1486</v>
      </c>
      <c r="H39" s="17">
        <v>2318160</v>
      </c>
    </row>
    <row r="40" spans="1:8" s="22" customFormat="1" x14ac:dyDescent="0.25">
      <c r="A40" s="230"/>
      <c r="B40" s="230"/>
      <c r="C40" s="857"/>
      <c r="D40" s="83" t="s">
        <v>95</v>
      </c>
      <c r="E40" s="30"/>
      <c r="F40" s="37"/>
      <c r="G40" s="4">
        <v>1210</v>
      </c>
      <c r="H40" s="17">
        <v>1887600</v>
      </c>
    </row>
    <row r="41" spans="1:8" s="22" customFormat="1" x14ac:dyDescent="0.25">
      <c r="A41" s="229"/>
      <c r="B41" s="229"/>
      <c r="C41" s="857"/>
      <c r="D41" s="83" t="s">
        <v>96</v>
      </c>
      <c r="E41" s="30">
        <v>1400</v>
      </c>
      <c r="F41" s="37">
        <v>2200800</v>
      </c>
      <c r="G41" s="4">
        <v>1680</v>
      </c>
      <c r="H41" s="17">
        <v>2620800</v>
      </c>
    </row>
    <row r="42" spans="1:8" s="8" customFormat="1" ht="8.25" customHeight="1" x14ac:dyDescent="0.25">
      <c r="A42" s="7"/>
      <c r="B42" s="7"/>
      <c r="C42" s="7"/>
      <c r="D42" s="7"/>
      <c r="E42" s="7"/>
      <c r="F42" s="93"/>
      <c r="G42" s="7"/>
      <c r="H42" s="7"/>
    </row>
    <row r="43" spans="1:8" s="9" customFormat="1" ht="21.75" customHeight="1" x14ac:dyDescent="0.25">
      <c r="A43" s="198" t="s">
        <v>16</v>
      </c>
      <c r="B43" s="856" t="s">
        <v>55</v>
      </c>
      <c r="C43" s="856" t="s">
        <v>19</v>
      </c>
      <c r="D43" s="70" t="s">
        <v>79</v>
      </c>
      <c r="E43" s="64">
        <f>SUM(E44:E49)</f>
        <v>632</v>
      </c>
      <c r="F43" s="78">
        <f>SUM(F44:F49)</f>
        <v>2499500</v>
      </c>
      <c r="G43" s="64">
        <f>SUM(G44:G49)</f>
        <v>1490</v>
      </c>
      <c r="H43" s="78">
        <f>SUM(H44:H49)</f>
        <v>8940000</v>
      </c>
    </row>
    <row r="44" spans="1:8" s="9" customFormat="1" ht="21" customHeight="1" x14ac:dyDescent="0.25">
      <c r="A44" s="200"/>
      <c r="B44" s="857"/>
      <c r="C44" s="857"/>
      <c r="D44" s="83" t="s">
        <v>91</v>
      </c>
      <c r="E44" s="101">
        <v>105</v>
      </c>
      <c r="F44" s="37">
        <v>437000</v>
      </c>
      <c r="G44" s="20">
        <v>265</v>
      </c>
      <c r="H44" s="17">
        <v>1590000</v>
      </c>
    </row>
    <row r="45" spans="1:8" s="1" customFormat="1" ht="18" customHeight="1" x14ac:dyDescent="0.25">
      <c r="A45" s="55"/>
      <c r="B45" s="857"/>
      <c r="C45" s="857"/>
      <c r="D45" s="83" t="s">
        <v>92</v>
      </c>
      <c r="E45" s="101">
        <v>91</v>
      </c>
      <c r="F45" s="37">
        <v>368000</v>
      </c>
      <c r="G45" s="20">
        <v>241</v>
      </c>
      <c r="H45" s="17">
        <v>1446000</v>
      </c>
    </row>
    <row r="46" spans="1:8" s="1" customFormat="1" x14ac:dyDescent="0.25">
      <c r="A46" s="55"/>
      <c r="B46" s="857"/>
      <c r="C46" s="857"/>
      <c r="D46" s="83" t="s">
        <v>93</v>
      </c>
      <c r="E46" s="101">
        <v>116</v>
      </c>
      <c r="F46" s="37">
        <v>478500</v>
      </c>
      <c r="G46" s="20">
        <v>276</v>
      </c>
      <c r="H46" s="17">
        <v>1656000</v>
      </c>
    </row>
    <row r="47" spans="1:8" s="1" customFormat="1" x14ac:dyDescent="0.25">
      <c r="A47" s="55"/>
      <c r="B47" s="55"/>
      <c r="C47" s="857"/>
      <c r="D47" s="83" t="s">
        <v>94</v>
      </c>
      <c r="E47" s="101">
        <v>147</v>
      </c>
      <c r="F47" s="37">
        <v>592500</v>
      </c>
      <c r="G47" s="20">
        <v>272</v>
      </c>
      <c r="H47" s="17">
        <v>1632000</v>
      </c>
    </row>
    <row r="48" spans="1:8" s="1" customFormat="1" x14ac:dyDescent="0.25">
      <c r="A48" s="55"/>
      <c r="B48" s="55"/>
      <c r="C48" s="857"/>
      <c r="D48" s="83" t="s">
        <v>95</v>
      </c>
      <c r="E48" s="101">
        <v>76</v>
      </c>
      <c r="F48" s="37">
        <v>292000</v>
      </c>
      <c r="G48" s="20">
        <v>236</v>
      </c>
      <c r="H48" s="17">
        <v>1416000</v>
      </c>
    </row>
    <row r="49" spans="1:8" s="1" customFormat="1" x14ac:dyDescent="0.25">
      <c r="A49" s="56"/>
      <c r="B49" s="56"/>
      <c r="C49" s="857"/>
      <c r="D49" s="83" t="s">
        <v>96</v>
      </c>
      <c r="E49" s="101">
        <v>97</v>
      </c>
      <c r="F49" s="37">
        <v>331500</v>
      </c>
      <c r="G49" s="20">
        <v>200</v>
      </c>
      <c r="H49" s="17">
        <v>1200000</v>
      </c>
    </row>
    <row r="50" spans="1:8" s="8" customFormat="1" ht="5.25" customHeight="1" x14ac:dyDescent="0.25">
      <c r="A50" s="7"/>
      <c r="B50" s="7"/>
      <c r="C50" s="7"/>
      <c r="D50" s="7"/>
      <c r="E50" s="7"/>
      <c r="F50" s="93"/>
      <c r="G50" s="7"/>
      <c r="H50" s="7"/>
    </row>
    <row r="51" spans="1:8" s="9" customFormat="1" ht="15.75" customHeight="1" x14ac:dyDescent="0.25">
      <c r="A51" s="926" t="s">
        <v>17</v>
      </c>
      <c r="B51" s="923" t="s">
        <v>56</v>
      </c>
      <c r="C51" s="926" t="s">
        <v>18</v>
      </c>
      <c r="D51" s="70" t="s">
        <v>79</v>
      </c>
      <c r="E51" s="64">
        <f>SUM(E52:E57)</f>
        <v>63</v>
      </c>
      <c r="F51" s="78">
        <f>SUM(F52:F57)</f>
        <v>86550</v>
      </c>
      <c r="G51" s="63"/>
      <c r="H51" s="63"/>
    </row>
    <row r="52" spans="1:8" s="9" customFormat="1" ht="21.75" customHeight="1" x14ac:dyDescent="0.25">
      <c r="A52" s="1037"/>
      <c r="B52" s="924"/>
      <c r="C52" s="1037"/>
      <c r="D52" s="83" t="s">
        <v>91</v>
      </c>
      <c r="E52" s="44">
        <f>1</f>
        <v>1</v>
      </c>
      <c r="F52" s="41">
        <f>1500</f>
        <v>1500</v>
      </c>
      <c r="G52" s="5"/>
      <c r="H52" s="4"/>
    </row>
    <row r="53" spans="1:8" s="1" customFormat="1" x14ac:dyDescent="0.25">
      <c r="A53" s="55"/>
      <c r="B53" s="924"/>
      <c r="C53" s="55"/>
      <c r="D53" s="83" t="s">
        <v>92</v>
      </c>
      <c r="E53" s="44">
        <f>1+4+3</f>
        <v>8</v>
      </c>
      <c r="F53" s="38">
        <f>1500+4100+4500</f>
        <v>10100</v>
      </c>
      <c r="G53" s="5"/>
      <c r="H53" s="4"/>
    </row>
    <row r="54" spans="1:8" s="1" customFormat="1" x14ac:dyDescent="0.25">
      <c r="A54" s="55"/>
      <c r="B54" s="924"/>
      <c r="C54" s="55"/>
      <c r="D54" s="83" t="s">
        <v>93</v>
      </c>
      <c r="E54" s="44">
        <f>5+3+23+7</f>
        <v>38</v>
      </c>
      <c r="F54" s="39">
        <f>9000+3500+27000+12400</f>
        <v>51900</v>
      </c>
      <c r="G54" s="5"/>
      <c r="H54" s="4"/>
    </row>
    <row r="55" spans="1:8" s="1" customFormat="1" x14ac:dyDescent="0.25">
      <c r="A55" s="55"/>
      <c r="B55" s="924"/>
      <c r="C55" s="55"/>
      <c r="D55" s="83" t="s">
        <v>94</v>
      </c>
      <c r="E55" s="44">
        <f>2+1+3</f>
        <v>6</v>
      </c>
      <c r="F55" s="39">
        <f>2500+1000+3500</f>
        <v>7000</v>
      </c>
      <c r="G55" s="5"/>
      <c r="H55" s="4"/>
    </row>
    <row r="56" spans="1:8" s="1" customFormat="1" x14ac:dyDescent="0.25">
      <c r="A56" s="55"/>
      <c r="B56" s="924"/>
      <c r="C56" s="55"/>
      <c r="D56" s="83" t="s">
        <v>95</v>
      </c>
      <c r="E56" s="44">
        <f>1+4+1</f>
        <v>6</v>
      </c>
      <c r="F56" s="39">
        <f>1500+5550+500</f>
        <v>7550</v>
      </c>
      <c r="G56" s="5"/>
      <c r="H56" s="4"/>
    </row>
    <row r="57" spans="1:8" s="1" customFormat="1" x14ac:dyDescent="0.25">
      <c r="A57" s="56"/>
      <c r="B57" s="973"/>
      <c r="C57" s="56"/>
      <c r="D57" s="83" t="s">
        <v>96</v>
      </c>
      <c r="E57" s="44">
        <f>2+1+1</f>
        <v>4</v>
      </c>
      <c r="F57" s="40">
        <f>2500+3000+3000</f>
        <v>8500</v>
      </c>
      <c r="G57" s="5"/>
      <c r="H57" s="4"/>
    </row>
    <row r="58" spans="1:8" s="9" customFormat="1" ht="30" hidden="1" customHeight="1" x14ac:dyDescent="0.25">
      <c r="A58" s="200" t="s">
        <v>63</v>
      </c>
      <c r="B58" s="831" t="s">
        <v>64</v>
      </c>
      <c r="C58" s="199" t="s">
        <v>65</v>
      </c>
      <c r="D58" s="132" t="s">
        <v>81</v>
      </c>
      <c r="E58" s="147">
        <f>SUM(E61:E65)</f>
        <v>0</v>
      </c>
      <c r="F58" s="137">
        <f>SUM(F61:F65)</f>
        <v>0</v>
      </c>
      <c r="G58" s="207" t="e">
        <f>G59+#REF!</f>
        <v>#REF!</v>
      </c>
      <c r="H58" s="69" t="e">
        <f>H59+#REF!</f>
        <v>#REF!</v>
      </c>
    </row>
    <row r="59" spans="1:8" s="9" customFormat="1" ht="30" hidden="1" customHeight="1" x14ac:dyDescent="0.25">
      <c r="A59" s="198"/>
      <c r="B59" s="879"/>
      <c r="C59" s="6"/>
      <c r="D59" s="70" t="s">
        <v>79</v>
      </c>
      <c r="E59" s="64"/>
      <c r="F59" s="95"/>
      <c r="G59" s="63">
        <f>SUM(G60:G65)</f>
        <v>24</v>
      </c>
      <c r="H59" s="78">
        <f>SUM(H60:H65)</f>
        <v>800000</v>
      </c>
    </row>
    <row r="60" spans="1:8" s="16" customFormat="1" ht="15" hidden="1" customHeight="1" x14ac:dyDescent="0.25">
      <c r="A60" s="869"/>
      <c r="B60" s="879"/>
      <c r="C60" s="15"/>
      <c r="D60" s="83" t="s">
        <v>91</v>
      </c>
      <c r="E60" s="44"/>
      <c r="F60" s="41"/>
      <c r="G60" s="15"/>
      <c r="H60" s="53"/>
    </row>
    <row r="61" spans="1:8" s="1" customFormat="1" ht="15" hidden="1" customHeight="1" x14ac:dyDescent="0.25">
      <c r="A61" s="870"/>
      <c r="B61" s="879"/>
      <c r="C61" s="5"/>
      <c r="D61" s="83" t="s">
        <v>92</v>
      </c>
      <c r="E61" s="44"/>
      <c r="F61" s="38"/>
      <c r="G61" s="20"/>
      <c r="H61" s="17"/>
    </row>
    <row r="62" spans="1:8" s="1" customFormat="1" ht="15" hidden="1" customHeight="1" x14ac:dyDescent="0.25">
      <c r="A62" s="55"/>
      <c r="B62" s="879"/>
      <c r="C62" s="5"/>
      <c r="D62" s="83" t="s">
        <v>93</v>
      </c>
      <c r="E62" s="44"/>
      <c r="F62" s="39"/>
      <c r="G62" s="20">
        <v>4</v>
      </c>
      <c r="H62" s="17">
        <v>40000</v>
      </c>
    </row>
    <row r="63" spans="1:8" s="1" customFormat="1" ht="15" hidden="1" customHeight="1" x14ac:dyDescent="0.25">
      <c r="A63" s="55"/>
      <c r="B63" s="879"/>
      <c r="C63" s="5"/>
      <c r="D63" s="83" t="s">
        <v>94</v>
      </c>
      <c r="E63" s="44"/>
      <c r="F63" s="39"/>
      <c r="G63" s="20">
        <v>14</v>
      </c>
      <c r="H63" s="17">
        <f>700000</f>
        <v>700000</v>
      </c>
    </row>
    <row r="64" spans="1:8" s="1" customFormat="1" ht="15" hidden="1" customHeight="1" x14ac:dyDescent="0.25">
      <c r="A64" s="55"/>
      <c r="B64" s="879"/>
      <c r="C64" s="5"/>
      <c r="D64" s="83" t="s">
        <v>95</v>
      </c>
      <c r="E64" s="44"/>
      <c r="F64" s="39"/>
      <c r="G64" s="20"/>
      <c r="H64" s="17"/>
    </row>
    <row r="65" spans="1:8" s="1" customFormat="1" ht="15" hidden="1" customHeight="1" x14ac:dyDescent="0.25">
      <c r="A65" s="56"/>
      <c r="B65" s="966"/>
      <c r="C65" s="5"/>
      <c r="D65" s="83" t="s">
        <v>96</v>
      </c>
      <c r="E65" s="44"/>
      <c r="F65" s="62"/>
      <c r="G65" s="20">
        <v>6</v>
      </c>
      <c r="H65" s="17">
        <v>60000</v>
      </c>
    </row>
    <row r="66" spans="1:8" s="2" customFormat="1" ht="24" hidden="1" customHeight="1" x14ac:dyDescent="0.25">
      <c r="A66" s="201"/>
      <c r="B66" s="202"/>
      <c r="C66" s="63"/>
      <c r="D66" s="70" t="s">
        <v>80</v>
      </c>
      <c r="E66" s="70">
        <f>SUM(E67:E73)</f>
        <v>0</v>
      </c>
      <c r="F66" s="84">
        <f>SUM(F67:F73)</f>
        <v>0</v>
      </c>
      <c r="G66" s="70">
        <f>SUM(G67:G73)</f>
        <v>0</v>
      </c>
      <c r="H66" s="71">
        <f>SUM(H67:H73)</f>
        <v>0</v>
      </c>
    </row>
    <row r="67" spans="1:8" s="2" customFormat="1" ht="14.25" hidden="1" customHeight="1" x14ac:dyDescent="0.25">
      <c r="A67" s="201"/>
      <c r="B67" s="202"/>
      <c r="C67" s="4"/>
      <c r="D67" s="83" t="s">
        <v>100</v>
      </c>
      <c r="E67" s="30"/>
      <c r="F67" s="37"/>
      <c r="G67" s="4"/>
      <c r="H67" s="17"/>
    </row>
    <row r="68" spans="1:8" s="2" customFormat="1" ht="14.25" hidden="1" customHeight="1" x14ac:dyDescent="0.25">
      <c r="A68" s="201"/>
      <c r="B68" s="202"/>
      <c r="C68" s="4"/>
      <c r="D68" s="83" t="s">
        <v>101</v>
      </c>
      <c r="E68" s="30"/>
      <c r="F68" s="37"/>
      <c r="G68" s="4"/>
      <c r="H68" s="17"/>
    </row>
    <row r="69" spans="1:8" s="2" customFormat="1" ht="14.25" hidden="1" customHeight="1" x14ac:dyDescent="0.25">
      <c r="A69" s="201"/>
      <c r="B69" s="202"/>
      <c r="C69" s="4"/>
      <c r="D69" s="83" t="s">
        <v>102</v>
      </c>
      <c r="E69" s="30"/>
      <c r="F69" s="37"/>
      <c r="G69" s="4"/>
      <c r="H69" s="17"/>
    </row>
    <row r="70" spans="1:8" s="2" customFormat="1" ht="14.25" hidden="1" customHeight="1" x14ac:dyDescent="0.25">
      <c r="A70" s="201"/>
      <c r="B70" s="202"/>
      <c r="C70" s="4"/>
      <c r="D70" s="83" t="s">
        <v>103</v>
      </c>
      <c r="E70" s="30"/>
      <c r="F70" s="37"/>
      <c r="G70" s="4"/>
      <c r="H70" s="17"/>
    </row>
    <row r="71" spans="1:8" s="2" customFormat="1" ht="14.25" hidden="1" customHeight="1" x14ac:dyDescent="0.25">
      <c r="A71" s="201"/>
      <c r="B71" s="202"/>
      <c r="C71" s="4"/>
      <c r="D71" s="83" t="s">
        <v>104</v>
      </c>
      <c r="E71" s="30"/>
      <c r="F71" s="37"/>
      <c r="G71" s="4"/>
      <c r="H71" s="17"/>
    </row>
    <row r="72" spans="1:8" s="2" customFormat="1" ht="14.25" hidden="1" customHeight="1" x14ac:dyDescent="0.25">
      <c r="A72" s="201"/>
      <c r="B72" s="202"/>
      <c r="C72" s="4"/>
      <c r="D72" s="83" t="s">
        <v>105</v>
      </c>
      <c r="E72" s="30"/>
      <c r="F72" s="37"/>
      <c r="G72" s="4"/>
      <c r="H72" s="17"/>
    </row>
    <row r="73" spans="1:8" s="2" customFormat="1" ht="14.25" hidden="1" customHeight="1" x14ac:dyDescent="0.25">
      <c r="A73" s="201"/>
      <c r="B73" s="202"/>
      <c r="C73" s="4"/>
      <c r="D73" s="83" t="s">
        <v>106</v>
      </c>
      <c r="E73" s="30"/>
      <c r="F73" s="37"/>
      <c r="G73" s="4"/>
      <c r="H73" s="17"/>
    </row>
    <row r="74" spans="1:8" s="2" customFormat="1" ht="24" hidden="1" customHeight="1" x14ac:dyDescent="0.25">
      <c r="A74" s="201"/>
      <c r="B74" s="202"/>
      <c r="C74" s="63"/>
      <c r="D74" s="70" t="s">
        <v>97</v>
      </c>
      <c r="E74" s="70">
        <f>SUM(E75:E80)</f>
        <v>0</v>
      </c>
      <c r="F74" s="84">
        <f>SUM(F75:F80)</f>
        <v>0</v>
      </c>
      <c r="G74" s="70">
        <f>SUM(G75:G80)</f>
        <v>0</v>
      </c>
      <c r="H74" s="71">
        <f>SUM(H75:H80)</f>
        <v>0</v>
      </c>
    </row>
    <row r="75" spans="1:8" s="2" customFormat="1" ht="14.25" hidden="1" customHeight="1" x14ac:dyDescent="0.25">
      <c r="A75" s="201"/>
      <c r="B75" s="202"/>
      <c r="C75" s="4"/>
      <c r="D75" s="83" t="s">
        <v>107</v>
      </c>
      <c r="E75" s="30"/>
      <c r="F75" s="37"/>
      <c r="G75" s="4"/>
      <c r="H75" s="17"/>
    </row>
    <row r="76" spans="1:8" s="2" customFormat="1" ht="14.25" hidden="1" customHeight="1" x14ac:dyDescent="0.25">
      <c r="A76" s="201"/>
      <c r="B76" s="202"/>
      <c r="C76" s="4"/>
      <c r="D76" s="83" t="s">
        <v>108</v>
      </c>
      <c r="E76" s="30"/>
      <c r="F76" s="37"/>
      <c r="G76" s="4"/>
      <c r="H76" s="17"/>
    </row>
    <row r="77" spans="1:8" s="2" customFormat="1" ht="14.25" hidden="1" customHeight="1" x14ac:dyDescent="0.25">
      <c r="A77" s="201"/>
      <c r="B77" s="202"/>
      <c r="C77" s="4"/>
      <c r="D77" s="83" t="s">
        <v>109</v>
      </c>
      <c r="E77" s="30"/>
      <c r="F77" s="37"/>
      <c r="G77" s="4"/>
      <c r="H77" s="17"/>
    </row>
    <row r="78" spans="1:8" s="2" customFormat="1" ht="14.25" hidden="1" customHeight="1" x14ac:dyDescent="0.25">
      <c r="A78" s="201"/>
      <c r="B78" s="202"/>
      <c r="C78" s="4"/>
      <c r="D78" s="83" t="s">
        <v>110</v>
      </c>
      <c r="E78" s="30"/>
      <c r="F78" s="37"/>
      <c r="G78" s="4"/>
      <c r="H78" s="17"/>
    </row>
    <row r="79" spans="1:8" s="2" customFormat="1" ht="14.25" hidden="1" customHeight="1" x14ac:dyDescent="0.25">
      <c r="A79" s="201"/>
      <c r="B79" s="202"/>
      <c r="C79" s="4"/>
      <c r="D79" s="83" t="s">
        <v>111</v>
      </c>
      <c r="E79" s="30"/>
      <c r="F79" s="37"/>
      <c r="G79" s="4"/>
      <c r="H79" s="17"/>
    </row>
    <row r="80" spans="1:8" s="2" customFormat="1" ht="14.25" hidden="1" customHeight="1" x14ac:dyDescent="0.25">
      <c r="A80" s="201"/>
      <c r="B80" s="202"/>
      <c r="C80" s="4"/>
      <c r="D80" s="83" t="s">
        <v>112</v>
      </c>
      <c r="E80" s="30"/>
      <c r="F80" s="37"/>
      <c r="G80" s="4"/>
      <c r="H80" s="17"/>
    </row>
    <row r="81" spans="1:8" s="2" customFormat="1" ht="24" hidden="1" customHeight="1" x14ac:dyDescent="0.25">
      <c r="A81" s="201"/>
      <c r="B81" s="202"/>
      <c r="C81" s="63"/>
      <c r="D81" s="70" t="s">
        <v>98</v>
      </c>
      <c r="E81" s="70">
        <f>SUM(E82:E85)</f>
        <v>0</v>
      </c>
      <c r="F81" s="84">
        <f>SUM(F82:F85)</f>
        <v>0</v>
      </c>
      <c r="G81" s="70">
        <f>SUM(G82:G85)</f>
        <v>0</v>
      </c>
      <c r="H81" s="71">
        <f>SUM(H82:H85)</f>
        <v>0</v>
      </c>
    </row>
    <row r="82" spans="1:8" s="2" customFormat="1" ht="14.25" hidden="1" customHeight="1" x14ac:dyDescent="0.25">
      <c r="A82" s="201"/>
      <c r="B82" s="202"/>
      <c r="C82" s="4"/>
      <c r="D82" s="83" t="s">
        <v>113</v>
      </c>
      <c r="E82" s="30"/>
      <c r="F82" s="37"/>
      <c r="G82" s="4"/>
      <c r="H82" s="17"/>
    </row>
    <row r="83" spans="1:8" s="2" customFormat="1" ht="14.25" hidden="1" customHeight="1" x14ac:dyDescent="0.25">
      <c r="A83" s="201"/>
      <c r="B83" s="202"/>
      <c r="C83" s="4"/>
      <c r="D83" s="83" t="s">
        <v>114</v>
      </c>
      <c r="E83" s="30"/>
      <c r="F83" s="37"/>
      <c r="G83" s="4"/>
      <c r="H83" s="17"/>
    </row>
    <row r="84" spans="1:8" s="2" customFormat="1" ht="14.25" hidden="1" customHeight="1" x14ac:dyDescent="0.25">
      <c r="A84" s="201"/>
      <c r="B84" s="202"/>
      <c r="C84" s="4"/>
      <c r="D84" s="83" t="s">
        <v>115</v>
      </c>
      <c r="E84" s="30"/>
      <c r="F84" s="37"/>
      <c r="G84" s="4"/>
      <c r="H84" s="17"/>
    </row>
    <row r="85" spans="1:8" s="2" customFormat="1" ht="14.25" hidden="1" customHeight="1" x14ac:dyDescent="0.25">
      <c r="A85" s="201"/>
      <c r="B85" s="202"/>
      <c r="C85" s="4"/>
      <c r="D85" s="83" t="s">
        <v>116</v>
      </c>
      <c r="E85" s="30"/>
      <c r="F85" s="37"/>
      <c r="G85" s="4"/>
      <c r="H85" s="17"/>
    </row>
    <row r="86" spans="1:8" s="2" customFormat="1" ht="24" hidden="1" customHeight="1" x14ac:dyDescent="0.25">
      <c r="A86" s="201"/>
      <c r="B86" s="202"/>
      <c r="C86" s="63"/>
      <c r="D86" s="70" t="s">
        <v>99</v>
      </c>
      <c r="E86" s="70">
        <f>SUM(E87)</f>
        <v>0</v>
      </c>
      <c r="F86" s="84">
        <f>SUM(F87)</f>
        <v>0</v>
      </c>
      <c r="G86" s="70">
        <f>SUM(G87)</f>
        <v>0</v>
      </c>
      <c r="H86" s="84">
        <f>SUM(H87)</f>
        <v>0</v>
      </c>
    </row>
    <row r="87" spans="1:8" s="2" customFormat="1" ht="14.25" hidden="1" customHeight="1" x14ac:dyDescent="0.25">
      <c r="A87" s="201"/>
      <c r="B87" s="202"/>
      <c r="C87" s="4"/>
      <c r="D87" s="83" t="s">
        <v>117</v>
      </c>
      <c r="E87" s="30"/>
      <c r="F87" s="37"/>
      <c r="G87" s="4"/>
      <c r="H87" s="17"/>
    </row>
    <row r="88" spans="1:8" s="8" customFormat="1" ht="8.25" hidden="1" customHeight="1" x14ac:dyDescent="0.25">
      <c r="A88" s="60"/>
      <c r="B88" s="60"/>
      <c r="C88" s="60"/>
      <c r="D88" s="60"/>
      <c r="E88" s="60"/>
      <c r="F88" s="96"/>
      <c r="G88" s="60"/>
      <c r="H88" s="60"/>
    </row>
    <row r="89" spans="1:8" s="8" customFormat="1" ht="5.25" customHeight="1" x14ac:dyDescent="0.25">
      <c r="A89" s="7"/>
      <c r="B89" s="7"/>
      <c r="C89" s="7"/>
      <c r="D89" s="7"/>
      <c r="E89" s="7"/>
      <c r="F89" s="93"/>
      <c r="G89" s="7"/>
      <c r="H89" s="7"/>
    </row>
    <row r="90" spans="1:8" s="9" customFormat="1" ht="23.25" customHeight="1" x14ac:dyDescent="0.25">
      <c r="A90" s="198" t="s">
        <v>67</v>
      </c>
      <c r="B90" s="831" t="s">
        <v>68</v>
      </c>
      <c r="C90" s="926" t="s">
        <v>65</v>
      </c>
      <c r="D90" s="70" t="s">
        <v>79</v>
      </c>
      <c r="E90" s="64">
        <f>SUM(E91:E96)</f>
        <v>2244</v>
      </c>
      <c r="F90" s="78">
        <f>SUM(F91:F96)</f>
        <v>894985</v>
      </c>
      <c r="G90" s="63">
        <f>SUM(G91:G96)</f>
        <v>0</v>
      </c>
      <c r="H90" s="78">
        <f>SUM(H91:H96)</f>
        <v>0</v>
      </c>
    </row>
    <row r="91" spans="1:8" s="9" customFormat="1" ht="18.75" customHeight="1" x14ac:dyDescent="0.25">
      <c r="A91" s="200"/>
      <c r="B91" s="832"/>
      <c r="C91" s="1037"/>
      <c r="D91" s="83" t="s">
        <v>91</v>
      </c>
      <c r="E91" s="44">
        <f>206+150</f>
        <v>356</v>
      </c>
      <c r="F91" s="41">
        <f>50985+372000</f>
        <v>422985</v>
      </c>
      <c r="G91" s="15"/>
      <c r="H91" s="53"/>
    </row>
    <row r="92" spans="1:8" s="16" customFormat="1" ht="15" customHeight="1" x14ac:dyDescent="0.25">
      <c r="A92" s="870"/>
      <c r="B92" s="832"/>
      <c r="C92" s="203"/>
      <c r="D92" s="83" t="s">
        <v>92</v>
      </c>
      <c r="E92" s="44">
        <f>1888</f>
        <v>1888</v>
      </c>
      <c r="F92" s="38">
        <f>472000</f>
        <v>472000</v>
      </c>
      <c r="G92" s="20"/>
      <c r="H92" s="17"/>
    </row>
    <row r="93" spans="1:8" s="1" customFormat="1" x14ac:dyDescent="0.25">
      <c r="A93" s="870"/>
      <c r="B93" s="832"/>
      <c r="C93" s="55"/>
      <c r="D93" s="83" t="s">
        <v>93</v>
      </c>
      <c r="E93" s="44"/>
      <c r="F93" s="39"/>
      <c r="G93" s="20"/>
      <c r="H93" s="17"/>
    </row>
    <row r="94" spans="1:8" s="1" customFormat="1" x14ac:dyDescent="0.25">
      <c r="A94" s="55"/>
      <c r="B94" s="832"/>
      <c r="C94" s="55"/>
      <c r="D94" s="83" t="s">
        <v>94</v>
      </c>
      <c r="E94" s="44"/>
      <c r="F94" s="39"/>
      <c r="G94" s="20"/>
      <c r="H94" s="17"/>
    </row>
    <row r="95" spans="1:8" s="1" customFormat="1" x14ac:dyDescent="0.25">
      <c r="A95" s="55"/>
      <c r="B95" s="832"/>
      <c r="C95" s="55"/>
      <c r="D95" s="83" t="s">
        <v>95</v>
      </c>
      <c r="E95" s="44"/>
      <c r="F95" s="39"/>
      <c r="G95" s="20"/>
      <c r="H95" s="17"/>
    </row>
    <row r="96" spans="1:8" s="1" customFormat="1" x14ac:dyDescent="0.25">
      <c r="A96" s="56"/>
      <c r="B96" s="833"/>
      <c r="C96" s="56"/>
      <c r="D96" s="83" t="s">
        <v>96</v>
      </c>
      <c r="E96" s="44"/>
      <c r="F96" s="62"/>
      <c r="G96" s="20"/>
      <c r="H96" s="17"/>
    </row>
    <row r="97" spans="1:6" x14ac:dyDescent="0.25">
      <c r="A97" t="s">
        <v>26</v>
      </c>
      <c r="B97" t="s">
        <v>28</v>
      </c>
      <c r="D97" t="s">
        <v>31</v>
      </c>
      <c r="F97"/>
    </row>
    <row r="98" spans="1:6" x14ac:dyDescent="0.25">
      <c r="F98"/>
    </row>
    <row r="99" spans="1:6" x14ac:dyDescent="0.25">
      <c r="F99"/>
    </row>
    <row r="100" spans="1:6" x14ac:dyDescent="0.25">
      <c r="F100"/>
    </row>
    <row r="101" spans="1:6" x14ac:dyDescent="0.25">
      <c r="A101" t="s">
        <v>27</v>
      </c>
      <c r="B101" t="s">
        <v>29</v>
      </c>
      <c r="D101" t="s">
        <v>32</v>
      </c>
      <c r="F101"/>
    </row>
    <row r="102" spans="1:6" x14ac:dyDescent="0.25">
      <c r="A102" t="s">
        <v>223</v>
      </c>
      <c r="B102" t="s">
        <v>30</v>
      </c>
      <c r="D102" t="s">
        <v>33</v>
      </c>
      <c r="F102"/>
    </row>
  </sheetData>
  <mergeCells count="34">
    <mergeCell ref="A1:H1"/>
    <mergeCell ref="A2:H2"/>
    <mergeCell ref="A4:H4"/>
    <mergeCell ref="A5:H5"/>
    <mergeCell ref="A7:A8"/>
    <mergeCell ref="B7:B8"/>
    <mergeCell ref="C7:C8"/>
    <mergeCell ref="D7:D8"/>
    <mergeCell ref="E7:E8"/>
    <mergeCell ref="F7:F8"/>
    <mergeCell ref="G7:H7"/>
    <mergeCell ref="C11:C12"/>
    <mergeCell ref="A14:A17"/>
    <mergeCell ref="A27:A28"/>
    <mergeCell ref="B27:B33"/>
    <mergeCell ref="C27:C28"/>
    <mergeCell ref="A19:A20"/>
    <mergeCell ref="B19:B25"/>
    <mergeCell ref="C19:C20"/>
    <mergeCell ref="A11:A12"/>
    <mergeCell ref="B11:B17"/>
    <mergeCell ref="A35:A36"/>
    <mergeCell ref="B35:B38"/>
    <mergeCell ref="C35:C41"/>
    <mergeCell ref="B43:B46"/>
    <mergeCell ref="C43:C49"/>
    <mergeCell ref="A51:A52"/>
    <mergeCell ref="B51:B57"/>
    <mergeCell ref="C51:C52"/>
    <mergeCell ref="B90:B96"/>
    <mergeCell ref="C90:C91"/>
    <mergeCell ref="A92:A93"/>
    <mergeCell ref="B58:B65"/>
    <mergeCell ref="A60:A61"/>
  </mergeCells>
  <printOptions horizontalCentered="1"/>
  <pageMargins left="0.52" right="0.67" top="0.68" bottom="0.69" header="0.3" footer="0.4"/>
  <pageSetup paperSize="9" scale="80" orientation="landscape" verticalDpi="300" r:id="rId1"/>
  <headerFooter>
    <oddFooter>&amp;L1st Dist. of Bulacan
&amp;CPage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6" sqref="A6:F12"/>
    </sheetView>
  </sheetViews>
  <sheetFormatPr defaultRowHeight="15" x14ac:dyDescent="0.25"/>
  <cols>
    <col min="1" max="1" width="30.85546875" customWidth="1"/>
    <col min="2" max="2" width="42" customWidth="1"/>
    <col min="3" max="3" width="16.7109375"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16"/>
      <c r="B3" s="216"/>
      <c r="C3" s="216"/>
      <c r="D3" s="216"/>
      <c r="E3" s="216"/>
    </row>
    <row r="4" spans="1:5" s="47" customFormat="1" ht="15.75" x14ac:dyDescent="0.25">
      <c r="A4" s="844" t="s">
        <v>257</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79</v>
      </c>
      <c r="D8" s="224">
        <f>SUM(D9:D9)</f>
        <v>6</v>
      </c>
      <c r="E8" s="84">
        <f>SUM(E9:E9)</f>
        <v>4159099.3</v>
      </c>
    </row>
    <row r="9" spans="1:5" s="2" customFormat="1" ht="71.25" customHeight="1" x14ac:dyDescent="0.25">
      <c r="A9" s="873"/>
      <c r="B9" s="1065"/>
      <c r="C9" s="196" t="s">
        <v>94</v>
      </c>
      <c r="D9" s="233">
        <v>6</v>
      </c>
      <c r="E9" s="234">
        <v>4159099.3</v>
      </c>
    </row>
    <row r="10" spans="1:5" ht="21" customHeight="1" x14ac:dyDescent="0.3">
      <c r="A10" s="52"/>
      <c r="B10" s="258"/>
      <c r="C10" s="115"/>
      <c r="D10" s="251"/>
      <c r="E10" s="252"/>
    </row>
    <row r="11" spans="1:5" ht="15" customHeight="1" x14ac:dyDescent="0.25">
      <c r="A11" s="52"/>
      <c r="B11" s="258"/>
      <c r="C11" s="115"/>
      <c r="D11" s="251"/>
      <c r="E11" s="252"/>
    </row>
    <row r="12" spans="1:5" x14ac:dyDescent="0.25">
      <c r="A12" t="s">
        <v>27</v>
      </c>
      <c r="B12" t="s">
        <v>29</v>
      </c>
      <c r="D12" t="s">
        <v>32</v>
      </c>
    </row>
    <row r="13" spans="1:5" x14ac:dyDescent="0.25">
      <c r="A13" t="s">
        <v>223</v>
      </c>
      <c r="B13" t="s">
        <v>30</v>
      </c>
      <c r="D13" t="s">
        <v>33</v>
      </c>
    </row>
  </sheetData>
  <mergeCells count="10">
    <mergeCell ref="A8:A9"/>
    <mergeCell ref="B8:B9"/>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60" workbookViewId="0">
      <selection activeCell="A6" sqref="A6:F12"/>
    </sheetView>
  </sheetViews>
  <sheetFormatPr defaultRowHeight="15" x14ac:dyDescent="0.25"/>
  <cols>
    <col min="1" max="1" width="30.85546875" customWidth="1"/>
    <col min="2" max="2" width="42" customWidth="1"/>
    <col min="3" max="3" width="13.42578125" customWidth="1"/>
    <col min="4" max="4" width="20.28515625" customWidth="1"/>
    <col min="5" max="5" width="10.85546875" customWidth="1"/>
    <col min="6" max="6" width="16.42578125" style="97" customWidth="1"/>
    <col min="7" max="7" width="11.140625" customWidth="1"/>
    <col min="8" max="8" width="19.5703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04"/>
      <c r="B3" s="204"/>
      <c r="C3" s="204"/>
      <c r="D3" s="204"/>
      <c r="E3" s="204"/>
      <c r="F3" s="90"/>
      <c r="G3" s="204"/>
      <c r="H3" s="204"/>
    </row>
    <row r="4" spans="1:8" s="47" customFormat="1" ht="15.75" x14ac:dyDescent="0.25">
      <c r="A4" s="844" t="s">
        <v>227</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60"/>
      <c r="B8" s="925"/>
      <c r="C8" s="860"/>
      <c r="D8" s="922"/>
      <c r="E8" s="922"/>
      <c r="F8" s="1059"/>
      <c r="G8" s="205" t="s">
        <v>48</v>
      </c>
      <c r="H8" s="205" t="s">
        <v>60</v>
      </c>
    </row>
    <row r="9" spans="1:8" s="12" customFormat="1" ht="20.25" customHeight="1" x14ac:dyDescent="0.25">
      <c r="A9" s="10" t="s">
        <v>14</v>
      </c>
      <c r="B9" s="10"/>
      <c r="C9" s="11"/>
      <c r="D9" s="11"/>
      <c r="E9" s="14"/>
      <c r="F9" s="139">
        <f>F11+F20+F29+F46+F55+F64+F81+F121</f>
        <v>79592689.519999996</v>
      </c>
      <c r="G9" s="11"/>
      <c r="H9" s="139">
        <f>H11+H20+H29+H46+H55+H64+H81+H121</f>
        <v>196297800</v>
      </c>
    </row>
    <row r="10" spans="1:8" s="8" customFormat="1" ht="8.25" customHeight="1" x14ac:dyDescent="0.25">
      <c r="A10" s="7"/>
      <c r="B10" s="7"/>
      <c r="C10" s="7"/>
      <c r="D10" s="7"/>
      <c r="E10" s="7"/>
      <c r="F10" s="93"/>
      <c r="G10" s="7"/>
      <c r="H10" s="7"/>
    </row>
    <row r="11" spans="1:8" s="3" customFormat="1" ht="19.5" customHeight="1" x14ac:dyDescent="0.25">
      <c r="A11" s="926" t="s">
        <v>5</v>
      </c>
      <c r="B11" s="831" t="s">
        <v>50</v>
      </c>
      <c r="C11" s="967" t="s">
        <v>21</v>
      </c>
      <c r="D11" s="70" t="s">
        <v>80</v>
      </c>
      <c r="E11" s="70">
        <f>SUM(E12:E18)</f>
        <v>10229</v>
      </c>
      <c r="F11" s="84">
        <f>SUM(F12:F18)</f>
        <v>57307300</v>
      </c>
      <c r="G11" s="70">
        <f>SUM(G12:G18)</f>
        <v>10889</v>
      </c>
      <c r="H11" s="71">
        <f>SUM(H12:H18)</f>
        <v>163335000</v>
      </c>
    </row>
    <row r="12" spans="1:8" s="3" customFormat="1" ht="21.75" customHeight="1" x14ac:dyDescent="0.25">
      <c r="A12" s="927"/>
      <c r="B12" s="832"/>
      <c r="C12" s="968"/>
      <c r="D12" s="83" t="s">
        <v>100</v>
      </c>
      <c r="E12" s="30">
        <v>1341</v>
      </c>
      <c r="F12" s="37">
        <v>8221400</v>
      </c>
      <c r="G12" s="4">
        <v>1410</v>
      </c>
      <c r="H12" s="17">
        <v>21150000</v>
      </c>
    </row>
    <row r="13" spans="1:8" s="2" customFormat="1" ht="14.25" customHeight="1" x14ac:dyDescent="0.25">
      <c r="A13" s="18"/>
      <c r="B13" s="832"/>
      <c r="C13" s="4"/>
      <c r="D13" s="83" t="s">
        <v>101</v>
      </c>
      <c r="E13" s="30">
        <v>1716</v>
      </c>
      <c r="F13" s="37">
        <v>12946900</v>
      </c>
      <c r="G13" s="4">
        <v>1859</v>
      </c>
      <c r="H13" s="17">
        <v>27885000</v>
      </c>
    </row>
    <row r="14" spans="1:8" s="2" customFormat="1" ht="14.25" customHeight="1" x14ac:dyDescent="0.25">
      <c r="A14" s="972"/>
      <c r="B14" s="832"/>
      <c r="C14" s="4"/>
      <c r="D14" s="83" t="s">
        <v>102</v>
      </c>
      <c r="E14" s="30">
        <v>1642</v>
      </c>
      <c r="F14" s="37">
        <v>9553500</v>
      </c>
      <c r="G14" s="4">
        <v>1700</v>
      </c>
      <c r="H14" s="17">
        <v>25500000</v>
      </c>
    </row>
    <row r="15" spans="1:8" s="2" customFormat="1" ht="14.25" customHeight="1" x14ac:dyDescent="0.25">
      <c r="A15" s="918"/>
      <c r="B15" s="832"/>
      <c r="C15" s="4"/>
      <c r="D15" s="83" t="s">
        <v>103</v>
      </c>
      <c r="E15" s="30">
        <v>1387</v>
      </c>
      <c r="F15" s="37">
        <v>9441200</v>
      </c>
      <c r="G15" s="4">
        <v>1463</v>
      </c>
      <c r="H15" s="17">
        <v>21945000</v>
      </c>
    </row>
    <row r="16" spans="1:8" s="2" customFormat="1" ht="14.25" customHeight="1" x14ac:dyDescent="0.25">
      <c r="A16" s="918"/>
      <c r="B16" s="832"/>
      <c r="C16" s="4"/>
      <c r="D16" s="83" t="s">
        <v>104</v>
      </c>
      <c r="E16" s="30">
        <v>1273</v>
      </c>
      <c r="F16" s="37">
        <v>8020700</v>
      </c>
      <c r="G16" s="4">
        <v>1465</v>
      </c>
      <c r="H16" s="17">
        <v>21975000</v>
      </c>
    </row>
    <row r="17" spans="1:8" s="2" customFormat="1" ht="14.25" customHeight="1" x14ac:dyDescent="0.25">
      <c r="A17" s="918"/>
      <c r="B17" s="832"/>
      <c r="C17" s="4"/>
      <c r="D17" s="83" t="s">
        <v>105</v>
      </c>
      <c r="E17" s="30">
        <v>1652</v>
      </c>
      <c r="F17" s="37">
        <v>1172700</v>
      </c>
      <c r="G17" s="4">
        <v>1704</v>
      </c>
      <c r="H17" s="17">
        <v>25560000</v>
      </c>
    </row>
    <row r="18" spans="1:8" s="2" customFormat="1" ht="14.25" customHeight="1" x14ac:dyDescent="0.25">
      <c r="A18" s="918"/>
      <c r="B18" s="833"/>
      <c r="C18" s="4"/>
      <c r="D18" s="83" t="s">
        <v>106</v>
      </c>
      <c r="E18" s="30">
        <v>1218</v>
      </c>
      <c r="F18" s="37">
        <v>7950900</v>
      </c>
      <c r="G18" s="4">
        <v>1288</v>
      </c>
      <c r="H18" s="17">
        <v>19320000</v>
      </c>
    </row>
    <row r="19" spans="1:8" s="8" customFormat="1" ht="8.25" customHeight="1" x14ac:dyDescent="0.25">
      <c r="A19" s="7"/>
      <c r="B19" s="7"/>
      <c r="C19" s="7"/>
      <c r="D19" s="7"/>
      <c r="E19" s="7"/>
      <c r="F19" s="93"/>
      <c r="G19" s="7"/>
      <c r="H19" s="7"/>
    </row>
    <row r="20" spans="1:8" s="9" customFormat="1" ht="20.25" customHeight="1" x14ac:dyDescent="0.25">
      <c r="A20" s="926" t="s">
        <v>61</v>
      </c>
      <c r="B20" s="831" t="s">
        <v>62</v>
      </c>
      <c r="C20" s="967" t="s">
        <v>21</v>
      </c>
      <c r="D20" s="70" t="s">
        <v>80</v>
      </c>
      <c r="E20" s="70">
        <f>SUM(E21:E27)</f>
        <v>33</v>
      </c>
      <c r="F20" s="84">
        <f>SUM(F21:F27)</f>
        <v>239700</v>
      </c>
      <c r="G20" s="70">
        <f>SUM(G21:G27)</f>
        <v>0</v>
      </c>
      <c r="H20" s="71">
        <f>SUM(H21:H27)</f>
        <v>0</v>
      </c>
    </row>
    <row r="21" spans="1:8" s="9" customFormat="1" ht="21" customHeight="1" x14ac:dyDescent="0.25">
      <c r="A21" s="927"/>
      <c r="B21" s="832"/>
      <c r="C21" s="968"/>
      <c r="D21" s="83" t="s">
        <v>100</v>
      </c>
      <c r="E21" s="30"/>
      <c r="F21" s="37"/>
      <c r="G21" s="4"/>
      <c r="H21" s="17"/>
    </row>
    <row r="22" spans="1:8" s="2" customFormat="1" ht="15" customHeight="1" x14ac:dyDescent="0.25">
      <c r="A22" s="208"/>
      <c r="B22" s="832"/>
      <c r="C22" s="4"/>
      <c r="D22" s="83" t="s">
        <v>101</v>
      </c>
      <c r="E22" s="30"/>
      <c r="F22" s="37"/>
      <c r="G22" s="4"/>
      <c r="H22" s="17"/>
    </row>
    <row r="23" spans="1:8" s="2" customFormat="1" ht="15" customHeight="1" x14ac:dyDescent="0.25">
      <c r="A23" s="209"/>
      <c r="B23" s="832"/>
      <c r="C23" s="4"/>
      <c r="D23" s="83" t="s">
        <v>102</v>
      </c>
      <c r="E23" s="30"/>
      <c r="F23" s="37"/>
      <c r="G23" s="4"/>
      <c r="H23" s="17"/>
    </row>
    <row r="24" spans="1:8" s="2" customFormat="1" ht="15" customHeight="1" x14ac:dyDescent="0.25">
      <c r="A24" s="209"/>
      <c r="B24" s="832"/>
      <c r="C24" s="4"/>
      <c r="D24" s="83" t="s">
        <v>103</v>
      </c>
      <c r="E24" s="30">
        <f>1</f>
        <v>1</v>
      </c>
      <c r="F24" s="37">
        <f>107100</f>
        <v>107100</v>
      </c>
      <c r="G24" s="4"/>
      <c r="H24" s="17"/>
    </row>
    <row r="25" spans="1:8" s="2" customFormat="1" ht="15" customHeight="1" x14ac:dyDescent="0.25">
      <c r="A25" s="209"/>
      <c r="B25" s="832"/>
      <c r="C25" s="4"/>
      <c r="D25" s="83" t="s">
        <v>104</v>
      </c>
      <c r="E25" s="30"/>
      <c r="F25" s="37"/>
      <c r="G25" s="4"/>
      <c r="H25" s="17"/>
    </row>
    <row r="26" spans="1:8" s="2" customFormat="1" ht="15" customHeight="1" x14ac:dyDescent="0.25">
      <c r="A26" s="209"/>
      <c r="B26" s="832"/>
      <c r="C26" s="4"/>
      <c r="D26" s="83" t="s">
        <v>105</v>
      </c>
      <c r="E26" s="30"/>
      <c r="F26" s="37"/>
      <c r="G26" s="4"/>
      <c r="H26" s="17"/>
    </row>
    <row r="27" spans="1:8" s="2" customFormat="1" ht="15" customHeight="1" x14ac:dyDescent="0.25">
      <c r="A27" s="210"/>
      <c r="B27" s="833"/>
      <c r="C27" s="4"/>
      <c r="D27" s="83" t="s">
        <v>106</v>
      </c>
      <c r="E27" s="30">
        <f>32</f>
        <v>32</v>
      </c>
      <c r="F27" s="37">
        <f>132600</f>
        <v>132600</v>
      </c>
      <c r="G27" s="4"/>
      <c r="H27" s="17"/>
    </row>
    <row r="28" spans="1:8" s="8" customFormat="1" ht="8.25" customHeight="1" x14ac:dyDescent="0.25">
      <c r="A28" s="7"/>
      <c r="B28" s="7"/>
      <c r="C28" s="7"/>
      <c r="D28" s="7"/>
      <c r="E28" s="7"/>
      <c r="F28" s="93"/>
      <c r="G28" s="7"/>
      <c r="H28" s="7"/>
    </row>
    <row r="29" spans="1:8" s="9" customFormat="1" ht="20.25" customHeight="1" x14ac:dyDescent="0.25">
      <c r="A29" s="926" t="s">
        <v>7</v>
      </c>
      <c r="B29" s="831" t="s">
        <v>52</v>
      </c>
      <c r="C29" s="967" t="s">
        <v>53</v>
      </c>
      <c r="D29" s="224" t="s">
        <v>80</v>
      </c>
      <c r="E29" s="224">
        <f>SUM(E30:E36)</f>
        <v>357</v>
      </c>
      <c r="F29" s="231">
        <f>SUM(F30:F36)</f>
        <v>2770000</v>
      </c>
      <c r="G29" s="224">
        <f>SUM(G30:G36)</f>
        <v>405</v>
      </c>
      <c r="H29" s="232">
        <f>SUM(H30:H36)</f>
        <v>2400000</v>
      </c>
    </row>
    <row r="30" spans="1:8" s="9" customFormat="1" ht="18" customHeight="1" x14ac:dyDescent="0.25">
      <c r="A30" s="927"/>
      <c r="B30" s="832"/>
      <c r="C30" s="968"/>
      <c r="D30" s="83" t="s">
        <v>100</v>
      </c>
      <c r="E30" s="30">
        <f>20+40</f>
        <v>60</v>
      </c>
      <c r="F30" s="37">
        <f>200000+400000</f>
        <v>600000</v>
      </c>
      <c r="G30" s="4">
        <v>30</v>
      </c>
      <c r="H30" s="17">
        <v>300000</v>
      </c>
    </row>
    <row r="31" spans="1:8" s="2" customFormat="1" ht="15" customHeight="1" x14ac:dyDescent="0.25">
      <c r="A31" s="4"/>
      <c r="B31" s="832"/>
      <c r="C31" s="4"/>
      <c r="D31" s="83" t="s">
        <v>101</v>
      </c>
      <c r="E31" s="30">
        <f>90+25</f>
        <v>115</v>
      </c>
      <c r="F31" s="37">
        <f>450000+150000</f>
        <v>600000</v>
      </c>
      <c r="G31" s="4">
        <v>60</v>
      </c>
      <c r="H31" s="17">
        <v>300000</v>
      </c>
    </row>
    <row r="32" spans="1:8" s="2" customFormat="1" ht="15" customHeight="1" x14ac:dyDescent="0.25">
      <c r="A32" s="4"/>
      <c r="B32" s="832"/>
      <c r="C32" s="4"/>
      <c r="D32" s="83" t="s">
        <v>102</v>
      </c>
      <c r="E32" s="30"/>
      <c r="F32" s="37"/>
      <c r="G32" s="4">
        <v>60</v>
      </c>
      <c r="H32" s="17">
        <v>300000</v>
      </c>
    </row>
    <row r="33" spans="1:8" s="2" customFormat="1" ht="15" customHeight="1" x14ac:dyDescent="0.25">
      <c r="A33" s="4"/>
      <c r="B33" s="832"/>
      <c r="C33" s="4"/>
      <c r="D33" s="83" t="s">
        <v>103</v>
      </c>
      <c r="E33" s="30"/>
      <c r="F33" s="37"/>
      <c r="G33" s="4">
        <v>75</v>
      </c>
      <c r="H33" s="17">
        <v>450000</v>
      </c>
    </row>
    <row r="34" spans="1:8" s="2" customFormat="1" ht="15" customHeight="1" x14ac:dyDescent="0.25">
      <c r="A34" s="4"/>
      <c r="B34" s="832"/>
      <c r="C34" s="4"/>
      <c r="D34" s="83" t="s">
        <v>104</v>
      </c>
      <c r="E34" s="30">
        <f>1</f>
        <v>1</v>
      </c>
      <c r="F34" s="37">
        <f>10000</f>
        <v>10000</v>
      </c>
      <c r="G34" s="4">
        <v>60</v>
      </c>
      <c r="H34" s="17">
        <v>300000</v>
      </c>
    </row>
    <row r="35" spans="1:8" s="2" customFormat="1" ht="15" customHeight="1" x14ac:dyDescent="0.25">
      <c r="A35" s="4"/>
      <c r="B35" s="832"/>
      <c r="C35" s="4"/>
      <c r="D35" s="83" t="s">
        <v>105</v>
      </c>
      <c r="E35" s="30">
        <f>45+105</f>
        <v>150</v>
      </c>
      <c r="F35" s="37">
        <f>300000+950000</f>
        <v>1250000</v>
      </c>
      <c r="G35" s="4">
        <v>60</v>
      </c>
      <c r="H35" s="17">
        <v>300000</v>
      </c>
    </row>
    <row r="36" spans="1:8" s="2" customFormat="1" ht="15" customHeight="1" x14ac:dyDescent="0.25">
      <c r="A36" s="4"/>
      <c r="B36" s="833"/>
      <c r="C36" s="4"/>
      <c r="D36" s="83" t="s">
        <v>106</v>
      </c>
      <c r="E36" s="30">
        <f>1+30</f>
        <v>31</v>
      </c>
      <c r="F36" s="37">
        <f>10000+300000</f>
        <v>310000</v>
      </c>
      <c r="G36" s="4">
        <v>60</v>
      </c>
      <c r="H36" s="17">
        <v>450000</v>
      </c>
    </row>
    <row r="37" spans="1:8" s="123" customFormat="1" ht="8.25" customHeight="1" x14ac:dyDescent="0.25">
      <c r="F37" s="174"/>
    </row>
    <row r="38" spans="1:8" s="123" customFormat="1" ht="8.25" customHeight="1" x14ac:dyDescent="0.25">
      <c r="F38" s="174"/>
    </row>
    <row r="39" spans="1:8" s="123" customFormat="1" ht="8.25" customHeight="1" x14ac:dyDescent="0.25">
      <c r="F39" s="174"/>
    </row>
    <row r="40" spans="1:8" s="123" customFormat="1" ht="8.25" customHeight="1" x14ac:dyDescent="0.25">
      <c r="F40" s="174"/>
    </row>
    <row r="41" spans="1:8" s="123" customFormat="1" ht="8.25" customHeight="1" x14ac:dyDescent="0.25">
      <c r="F41" s="174"/>
    </row>
    <row r="42" spans="1:8" s="123" customFormat="1" ht="8.25" customHeight="1" x14ac:dyDescent="0.25">
      <c r="F42" s="174"/>
    </row>
    <row r="43" spans="1:8" s="123" customFormat="1" ht="8.25" customHeight="1" x14ac:dyDescent="0.25">
      <c r="F43" s="174"/>
    </row>
    <row r="44" spans="1:8" s="123" customFormat="1" ht="8.25" customHeight="1" x14ac:dyDescent="0.25">
      <c r="F44" s="174"/>
    </row>
    <row r="45" spans="1:8" s="123" customFormat="1" ht="8.25" customHeight="1" x14ac:dyDescent="0.25">
      <c r="F45" s="174"/>
    </row>
    <row r="46" spans="1:8" s="9" customFormat="1" ht="15.75" customHeight="1" x14ac:dyDescent="0.25">
      <c r="A46" s="926" t="s">
        <v>6</v>
      </c>
      <c r="B46" s="831" t="s">
        <v>54</v>
      </c>
      <c r="C46" s="856" t="s">
        <v>20</v>
      </c>
      <c r="D46" s="70" t="s">
        <v>80</v>
      </c>
      <c r="E46" s="70">
        <f>SUM(E47:E53)</f>
        <v>10075</v>
      </c>
      <c r="F46" s="84">
        <f>SUM(F47:F53)</f>
        <v>15837800</v>
      </c>
      <c r="G46" s="70">
        <f>SUM(G47:G53)</f>
        <v>13130</v>
      </c>
      <c r="H46" s="71">
        <f>SUM(H47:H53)</f>
        <v>20482800</v>
      </c>
    </row>
    <row r="47" spans="1:8" s="9" customFormat="1" ht="20.25" customHeight="1" x14ac:dyDescent="0.25">
      <c r="A47" s="927"/>
      <c r="B47" s="832"/>
      <c r="C47" s="857"/>
      <c r="D47" s="83" t="s">
        <v>100</v>
      </c>
      <c r="E47" s="30">
        <v>1021</v>
      </c>
      <c r="F47" s="37">
        <v>1605010</v>
      </c>
      <c r="G47" s="4">
        <v>1225</v>
      </c>
      <c r="H47" s="17">
        <v>1911000</v>
      </c>
    </row>
    <row r="48" spans="1:8" s="22" customFormat="1" ht="14.25" customHeight="1" x14ac:dyDescent="0.25">
      <c r="A48" s="21"/>
      <c r="B48" s="832"/>
      <c r="C48" s="857"/>
      <c r="D48" s="83" t="s">
        <v>101</v>
      </c>
      <c r="E48" s="30">
        <v>2898</v>
      </c>
      <c r="F48" s="37">
        <v>4555580</v>
      </c>
      <c r="G48" s="4">
        <v>3478</v>
      </c>
      <c r="H48" s="17">
        <v>5425680</v>
      </c>
    </row>
    <row r="49" spans="1:8" s="22" customFormat="1" x14ac:dyDescent="0.25">
      <c r="A49" s="21"/>
      <c r="B49" s="833"/>
      <c r="C49" s="857"/>
      <c r="D49" s="83" t="s">
        <v>102</v>
      </c>
      <c r="E49" s="30"/>
      <c r="F49" s="37"/>
      <c r="G49" s="4">
        <v>1039</v>
      </c>
      <c r="H49" s="17">
        <v>1620840</v>
      </c>
    </row>
    <row r="50" spans="1:8" s="22" customFormat="1" x14ac:dyDescent="0.25">
      <c r="A50" s="21"/>
      <c r="B50" s="21"/>
      <c r="C50" s="857"/>
      <c r="D50" s="83" t="s">
        <v>103</v>
      </c>
      <c r="E50" s="30">
        <f>1503</f>
        <v>1503</v>
      </c>
      <c r="F50" s="37">
        <f>2362730</f>
        <v>2362730</v>
      </c>
      <c r="G50" s="4">
        <v>1804</v>
      </c>
      <c r="H50" s="17">
        <v>2814240</v>
      </c>
    </row>
    <row r="51" spans="1:8" s="22" customFormat="1" x14ac:dyDescent="0.25">
      <c r="A51" s="21"/>
      <c r="B51" s="21"/>
      <c r="C51" s="857"/>
      <c r="D51" s="83" t="s">
        <v>104</v>
      </c>
      <c r="E51" s="30">
        <v>1428</v>
      </c>
      <c r="F51" s="37">
        <v>2244780</v>
      </c>
      <c r="G51" s="4">
        <v>1714</v>
      </c>
      <c r="H51" s="17">
        <v>2673840</v>
      </c>
    </row>
    <row r="52" spans="1:8" s="22" customFormat="1" x14ac:dyDescent="0.25">
      <c r="A52" s="21"/>
      <c r="B52" s="21"/>
      <c r="C52" s="857"/>
      <c r="D52" s="83" t="s">
        <v>105</v>
      </c>
      <c r="E52" s="30">
        <v>1350</v>
      </c>
      <c r="F52" s="37">
        <v>2122200</v>
      </c>
      <c r="G52" s="4">
        <v>1620</v>
      </c>
      <c r="H52" s="17">
        <v>2527200</v>
      </c>
    </row>
    <row r="53" spans="1:8" s="22" customFormat="1" x14ac:dyDescent="0.25">
      <c r="A53" s="21"/>
      <c r="B53" s="21"/>
      <c r="C53" s="921"/>
      <c r="D53" s="83" t="s">
        <v>106</v>
      </c>
      <c r="E53" s="30">
        <v>1875</v>
      </c>
      <c r="F53" s="37">
        <f>2947500</f>
        <v>2947500</v>
      </c>
      <c r="G53" s="4">
        <v>2250</v>
      </c>
      <c r="H53" s="17">
        <v>3510000</v>
      </c>
    </row>
    <row r="54" spans="1:8" s="8" customFormat="1" ht="8.25" customHeight="1" x14ac:dyDescent="0.25">
      <c r="A54" s="7"/>
      <c r="B54" s="7"/>
      <c r="C54" s="7"/>
      <c r="D54" s="7"/>
      <c r="E54" s="7"/>
      <c r="F54" s="93"/>
      <c r="G54" s="7"/>
      <c r="H54" s="7"/>
    </row>
    <row r="55" spans="1:8" s="9" customFormat="1" ht="21.75" customHeight="1" x14ac:dyDescent="0.25">
      <c r="A55" s="6" t="s">
        <v>16</v>
      </c>
      <c r="B55" s="856" t="s">
        <v>55</v>
      </c>
      <c r="C55" s="856" t="s">
        <v>19</v>
      </c>
      <c r="D55" s="70" t="s">
        <v>80</v>
      </c>
      <c r="E55" s="70">
        <f>SUM(E56:E62)</f>
        <v>598</v>
      </c>
      <c r="F55" s="84">
        <f>SUM(F56:F62)</f>
        <v>2449000</v>
      </c>
      <c r="G55" s="70">
        <f>SUM(G56:G62)</f>
        <v>1480</v>
      </c>
      <c r="H55" s="71">
        <f>SUM(H56:H62)</f>
        <v>10080000</v>
      </c>
    </row>
    <row r="56" spans="1:8" s="9" customFormat="1" ht="21" customHeight="1" x14ac:dyDescent="0.25">
      <c r="A56" s="6"/>
      <c r="B56" s="857"/>
      <c r="C56" s="857"/>
      <c r="D56" s="83" t="s">
        <v>100</v>
      </c>
      <c r="E56" s="101">
        <v>75</v>
      </c>
      <c r="F56" s="37">
        <v>296500</v>
      </c>
      <c r="G56" s="4">
        <v>230</v>
      </c>
      <c r="H56" s="17">
        <v>1380000</v>
      </c>
    </row>
    <row r="57" spans="1:8" s="1" customFormat="1" ht="18" customHeight="1" x14ac:dyDescent="0.25">
      <c r="A57" s="5"/>
      <c r="B57" s="857"/>
      <c r="C57" s="857"/>
      <c r="D57" s="83" t="s">
        <v>101</v>
      </c>
      <c r="E57" s="101">
        <v>131</v>
      </c>
      <c r="F57" s="37">
        <v>540500</v>
      </c>
      <c r="G57" s="4">
        <v>311</v>
      </c>
      <c r="H57" s="17">
        <v>1866000</v>
      </c>
    </row>
    <row r="58" spans="1:8" s="1" customFormat="1" x14ac:dyDescent="0.25">
      <c r="A58" s="5"/>
      <c r="B58" s="921"/>
      <c r="C58" s="857"/>
      <c r="D58" s="83" t="s">
        <v>102</v>
      </c>
      <c r="E58" s="101">
        <v>73</v>
      </c>
      <c r="F58" s="37">
        <v>278500</v>
      </c>
      <c r="G58" s="4">
        <v>200</v>
      </c>
      <c r="H58" s="17">
        <v>1200000</v>
      </c>
    </row>
    <row r="59" spans="1:8" s="1" customFormat="1" x14ac:dyDescent="0.25">
      <c r="A59" s="5"/>
      <c r="B59" s="5"/>
      <c r="C59" s="857"/>
      <c r="D59" s="83" t="s">
        <v>103</v>
      </c>
      <c r="E59" s="101">
        <v>76</v>
      </c>
      <c r="F59" s="37">
        <v>303000</v>
      </c>
      <c r="G59" s="4">
        <v>26</v>
      </c>
      <c r="H59" s="17">
        <v>1356000</v>
      </c>
    </row>
    <row r="60" spans="1:8" s="1" customFormat="1" x14ac:dyDescent="0.25">
      <c r="A60" s="5"/>
      <c r="B60" s="5"/>
      <c r="C60" s="857"/>
      <c r="D60" s="83" t="s">
        <v>104</v>
      </c>
      <c r="E60" s="101">
        <v>72</v>
      </c>
      <c r="F60" s="37">
        <v>279500</v>
      </c>
      <c r="G60" s="4">
        <v>217</v>
      </c>
      <c r="H60" s="17">
        <v>1302000</v>
      </c>
    </row>
    <row r="61" spans="1:8" s="1" customFormat="1" x14ac:dyDescent="0.25">
      <c r="A61" s="5"/>
      <c r="B61" s="5"/>
      <c r="C61" s="857"/>
      <c r="D61" s="83" t="s">
        <v>105</v>
      </c>
      <c r="E61" s="101">
        <v>75</v>
      </c>
      <c r="F61" s="37">
        <v>323500</v>
      </c>
      <c r="G61" s="4">
        <v>230</v>
      </c>
      <c r="H61" s="17">
        <v>1380000</v>
      </c>
    </row>
    <row r="62" spans="1:8" s="1" customFormat="1" x14ac:dyDescent="0.25">
      <c r="A62" s="5"/>
      <c r="B62" s="5"/>
      <c r="C62" s="857"/>
      <c r="D62" s="83" t="s">
        <v>106</v>
      </c>
      <c r="E62" s="101">
        <v>96</v>
      </c>
      <c r="F62" s="37">
        <v>427500</v>
      </c>
      <c r="G62" s="4">
        <v>266</v>
      </c>
      <c r="H62" s="17">
        <v>1596000</v>
      </c>
    </row>
    <row r="63" spans="1:8" s="8" customFormat="1" ht="8.25" customHeight="1" x14ac:dyDescent="0.25">
      <c r="A63" s="7"/>
      <c r="B63" s="7"/>
      <c r="C63" s="7"/>
      <c r="D63" s="7"/>
      <c r="E63" s="7"/>
      <c r="F63" s="93"/>
      <c r="G63" s="7"/>
      <c r="H63" s="7"/>
    </row>
    <row r="64" spans="1:8" s="9" customFormat="1" ht="15.75" customHeight="1" x14ac:dyDescent="0.25">
      <c r="A64" s="926" t="s">
        <v>17</v>
      </c>
      <c r="B64" s="923" t="s">
        <v>56</v>
      </c>
      <c r="C64" s="926" t="s">
        <v>18</v>
      </c>
      <c r="D64" s="70" t="s">
        <v>80</v>
      </c>
      <c r="E64" s="70">
        <f>SUM(E65:E71)</f>
        <v>26</v>
      </c>
      <c r="F64" s="84">
        <f>SUM(F65:F71)</f>
        <v>213075</v>
      </c>
      <c r="G64" s="70">
        <f>SUM(G65:G71)</f>
        <v>0</v>
      </c>
      <c r="H64" s="71">
        <f>SUM(H65:H71)</f>
        <v>0</v>
      </c>
    </row>
    <row r="65" spans="1:8" s="9" customFormat="1" ht="21.75" customHeight="1" x14ac:dyDescent="0.25">
      <c r="A65" s="927"/>
      <c r="B65" s="924"/>
      <c r="C65" s="927"/>
      <c r="D65" s="83" t="s">
        <v>100</v>
      </c>
      <c r="E65" s="30">
        <f>1</f>
        <v>1</v>
      </c>
      <c r="F65" s="37">
        <f>1000</f>
        <v>1000</v>
      </c>
      <c r="G65" s="4"/>
      <c r="H65" s="17"/>
    </row>
    <row r="66" spans="1:8" s="1" customFormat="1" x14ac:dyDescent="0.25">
      <c r="A66" s="5"/>
      <c r="B66" s="924"/>
      <c r="C66" s="5"/>
      <c r="D66" s="83" t="s">
        <v>101</v>
      </c>
      <c r="E66" s="30">
        <f>2+1+2</f>
        <v>5</v>
      </c>
      <c r="F66" s="37">
        <f>770+1000+40000</f>
        <v>41770</v>
      </c>
      <c r="G66" s="4"/>
      <c r="H66" s="17"/>
    </row>
    <row r="67" spans="1:8" s="1" customFormat="1" x14ac:dyDescent="0.25">
      <c r="A67" s="5"/>
      <c r="B67" s="924"/>
      <c r="C67" s="5"/>
      <c r="D67" s="83" t="s">
        <v>102</v>
      </c>
      <c r="E67" s="30">
        <f>2+1+1+1</f>
        <v>5</v>
      </c>
      <c r="F67" s="37">
        <f>175+580+20000+1000</f>
        <v>21755</v>
      </c>
      <c r="G67" s="4"/>
      <c r="H67" s="17"/>
    </row>
    <row r="68" spans="1:8" s="1" customFormat="1" x14ac:dyDescent="0.25">
      <c r="A68" s="5"/>
      <c r="B68" s="924"/>
      <c r="C68" s="5"/>
      <c r="D68" s="83" t="s">
        <v>103</v>
      </c>
      <c r="E68" s="30"/>
      <c r="F68" s="37"/>
      <c r="G68" s="4"/>
      <c r="H68" s="17"/>
    </row>
    <row r="69" spans="1:8" s="1" customFormat="1" x14ac:dyDescent="0.25">
      <c r="A69" s="5"/>
      <c r="B69" s="924"/>
      <c r="C69" s="5"/>
      <c r="D69" s="83" t="s">
        <v>104</v>
      </c>
      <c r="E69" s="30">
        <f>4+3+1</f>
        <v>8</v>
      </c>
      <c r="F69" s="37">
        <f>80000+3050+1000</f>
        <v>84050</v>
      </c>
      <c r="G69" s="4"/>
      <c r="H69" s="17"/>
    </row>
    <row r="70" spans="1:8" s="1" customFormat="1" x14ac:dyDescent="0.25">
      <c r="A70" s="5"/>
      <c r="B70" s="973"/>
      <c r="C70" s="5"/>
      <c r="D70" s="83" t="s">
        <v>105</v>
      </c>
      <c r="E70" s="30"/>
      <c r="F70" s="37"/>
      <c r="G70" s="4"/>
      <c r="H70" s="17"/>
    </row>
    <row r="71" spans="1:8" s="1" customFormat="1" x14ac:dyDescent="0.25">
      <c r="A71" s="5"/>
      <c r="B71" s="5"/>
      <c r="C71" s="5"/>
      <c r="D71" s="83" t="s">
        <v>106</v>
      </c>
      <c r="E71" s="30">
        <f>1+3+1+2</f>
        <v>7</v>
      </c>
      <c r="F71" s="37">
        <f>1500+60000+1000+2000</f>
        <v>64500</v>
      </c>
      <c r="G71" s="4"/>
      <c r="H71" s="17"/>
    </row>
    <row r="72" spans="1:8" s="8" customFormat="1" ht="5.25" customHeight="1" x14ac:dyDescent="0.25">
      <c r="A72" s="7"/>
      <c r="B72" s="7"/>
      <c r="C72" s="7"/>
      <c r="D72" s="7"/>
      <c r="E72" s="7"/>
      <c r="F72" s="93"/>
      <c r="G72" s="7"/>
      <c r="H72" s="7"/>
    </row>
    <row r="73" spans="1:8" s="9" customFormat="1" ht="34.5" hidden="1" customHeight="1" x14ac:dyDescent="0.25">
      <c r="A73" s="6" t="s">
        <v>22</v>
      </c>
      <c r="B73" s="831" t="s">
        <v>57</v>
      </c>
      <c r="C73" s="6" t="s">
        <v>37</v>
      </c>
      <c r="D73" s="6"/>
      <c r="E73" s="42">
        <f>SUM(E74:E79)</f>
        <v>227</v>
      </c>
      <c r="F73" s="94">
        <f>SUM(F74:F79)</f>
        <v>562960</v>
      </c>
      <c r="G73" s="6"/>
      <c r="H73" s="6"/>
    </row>
    <row r="74" spans="1:8" s="1" customFormat="1" ht="15" hidden="1" customHeight="1" x14ac:dyDescent="0.25">
      <c r="A74" s="972" t="s">
        <v>35</v>
      </c>
      <c r="B74" s="832"/>
      <c r="C74" s="5"/>
      <c r="D74" s="4" t="s">
        <v>42</v>
      </c>
      <c r="E74" s="44"/>
      <c r="F74" s="41"/>
      <c r="G74" s="5"/>
      <c r="H74" s="4" t="s">
        <v>8</v>
      </c>
    </row>
    <row r="75" spans="1:8" s="1" customFormat="1" ht="15" hidden="1" customHeight="1" x14ac:dyDescent="0.25">
      <c r="A75" s="918"/>
      <c r="B75" s="833"/>
      <c r="C75" s="5"/>
      <c r="D75" s="4" t="s">
        <v>43</v>
      </c>
      <c r="E75" s="44"/>
      <c r="F75" s="38"/>
      <c r="G75" s="5"/>
      <c r="H75" s="4" t="s">
        <v>9</v>
      </c>
    </row>
    <row r="76" spans="1:8" s="1" customFormat="1" ht="15" hidden="1" customHeight="1" x14ac:dyDescent="0.25">
      <c r="A76" s="918"/>
      <c r="B76" s="201"/>
      <c r="C76" s="5"/>
      <c r="D76" s="4" t="s">
        <v>44</v>
      </c>
      <c r="E76" s="45">
        <v>227</v>
      </c>
      <c r="F76" s="39">
        <v>562960</v>
      </c>
      <c r="G76" s="5"/>
      <c r="H76" s="4" t="s">
        <v>10</v>
      </c>
    </row>
    <row r="77" spans="1:8" s="1" customFormat="1" ht="15" hidden="1" customHeight="1" x14ac:dyDescent="0.25">
      <c r="A77" s="918"/>
      <c r="B77" s="201"/>
      <c r="C77" s="5"/>
      <c r="D77" s="4" t="s">
        <v>45</v>
      </c>
      <c r="E77" s="44"/>
      <c r="F77" s="39"/>
      <c r="G77" s="5"/>
      <c r="H77" s="4" t="s">
        <v>11</v>
      </c>
    </row>
    <row r="78" spans="1:8" s="1" customFormat="1" ht="15" hidden="1" customHeight="1" x14ac:dyDescent="0.25">
      <c r="A78" s="918"/>
      <c r="B78" s="201"/>
      <c r="C78" s="5"/>
      <c r="D78" s="4" t="s">
        <v>46</v>
      </c>
      <c r="E78" s="44"/>
      <c r="F78" s="39"/>
      <c r="G78" s="5"/>
      <c r="H78" s="4" t="s">
        <v>12</v>
      </c>
    </row>
    <row r="79" spans="1:8" s="1" customFormat="1" ht="15" hidden="1" customHeight="1" x14ac:dyDescent="0.25">
      <c r="A79" s="918"/>
      <c r="B79" s="201"/>
      <c r="C79" s="5"/>
      <c r="D79" s="4" t="s">
        <v>47</v>
      </c>
      <c r="E79" s="44"/>
      <c r="F79" s="40"/>
      <c r="G79" s="5"/>
      <c r="H79" s="4" t="s">
        <v>13</v>
      </c>
    </row>
    <row r="80" spans="1:8" s="8" customFormat="1" ht="8.25" hidden="1" customHeight="1" x14ac:dyDescent="0.25">
      <c r="A80" s="7"/>
      <c r="B80" s="7"/>
      <c r="C80" s="7"/>
      <c r="D80" s="7"/>
      <c r="E80" s="7"/>
      <c r="F80" s="93"/>
      <c r="G80" s="7"/>
      <c r="H80" s="7"/>
    </row>
    <row r="81" spans="1:9" s="9" customFormat="1" ht="21" customHeight="1" x14ac:dyDescent="0.25">
      <c r="A81" s="926" t="s">
        <v>23</v>
      </c>
      <c r="B81" s="831" t="s">
        <v>58</v>
      </c>
      <c r="C81" s="926" t="s">
        <v>24</v>
      </c>
      <c r="D81" s="70" t="s">
        <v>80</v>
      </c>
      <c r="E81" s="70">
        <f>SUM(E82:E88)</f>
        <v>1267</v>
      </c>
      <c r="F81" s="84">
        <f>SUM(F82:F88)</f>
        <v>316802.02</v>
      </c>
      <c r="G81" s="70">
        <f>SUM(G82:G88)</f>
        <v>0</v>
      </c>
      <c r="H81" s="71">
        <f>SUM(H82:H88)</f>
        <v>0</v>
      </c>
      <c r="I81" s="66"/>
    </row>
    <row r="82" spans="1:9" s="9" customFormat="1" ht="30" customHeight="1" x14ac:dyDescent="0.25">
      <c r="A82" s="927"/>
      <c r="B82" s="832"/>
      <c r="C82" s="927"/>
      <c r="D82" s="83" t="s">
        <v>100</v>
      </c>
      <c r="E82" s="30">
        <v>67</v>
      </c>
      <c r="F82" s="37">
        <v>16802.02</v>
      </c>
      <c r="G82" s="4"/>
      <c r="H82" s="17"/>
      <c r="I82" s="66"/>
    </row>
    <row r="83" spans="1:9" s="9" customFormat="1" ht="18" customHeight="1" x14ac:dyDescent="0.25">
      <c r="A83" s="6"/>
      <c r="B83" s="832"/>
      <c r="C83" s="6"/>
      <c r="D83" s="83" t="s">
        <v>101</v>
      </c>
      <c r="E83" s="30">
        <f>100</f>
        <v>100</v>
      </c>
      <c r="F83" s="37">
        <v>25000</v>
      </c>
      <c r="G83" s="4"/>
      <c r="H83" s="17"/>
      <c r="I83" s="66"/>
    </row>
    <row r="84" spans="1:9" s="16" customFormat="1" x14ac:dyDescent="0.25">
      <c r="A84" s="15"/>
      <c r="B84" s="832"/>
      <c r="C84" s="15"/>
      <c r="D84" s="83" t="s">
        <v>102</v>
      </c>
      <c r="E84" s="30">
        <f>1000</f>
        <v>1000</v>
      </c>
      <c r="F84" s="37">
        <f>250000</f>
        <v>250000</v>
      </c>
      <c r="G84" s="4"/>
      <c r="H84" s="17"/>
    </row>
    <row r="85" spans="1:9" s="1" customFormat="1" x14ac:dyDescent="0.25">
      <c r="A85" s="5"/>
      <c r="B85" s="832"/>
      <c r="C85" s="5"/>
      <c r="D85" s="83" t="s">
        <v>103</v>
      </c>
      <c r="E85" s="30">
        <v>100</v>
      </c>
      <c r="F85" s="37">
        <v>25000</v>
      </c>
      <c r="G85" s="4"/>
      <c r="H85" s="17"/>
    </row>
    <row r="86" spans="1:9" s="1" customFormat="1" x14ac:dyDescent="0.25">
      <c r="A86" s="5"/>
      <c r="B86" s="832"/>
      <c r="C86" s="5"/>
      <c r="D86" s="83" t="s">
        <v>104</v>
      </c>
      <c r="E86" s="30"/>
      <c r="F86" s="37"/>
      <c r="G86" s="4"/>
      <c r="H86" s="17"/>
    </row>
    <row r="87" spans="1:9" s="1" customFormat="1" x14ac:dyDescent="0.25">
      <c r="A87" s="5"/>
      <c r="B87" s="832"/>
      <c r="C87" s="5"/>
      <c r="D87" s="83" t="s">
        <v>105</v>
      </c>
      <c r="E87" s="30"/>
      <c r="F87" s="37"/>
      <c r="G87" s="4"/>
      <c r="H87" s="17"/>
    </row>
    <row r="88" spans="1:9" s="1" customFormat="1" x14ac:dyDescent="0.25">
      <c r="A88" s="5"/>
      <c r="B88" s="832"/>
      <c r="C88" s="5"/>
      <c r="D88" s="83" t="s">
        <v>106</v>
      </c>
      <c r="E88" s="30"/>
      <c r="F88" s="37"/>
      <c r="G88" s="4"/>
      <c r="H88" s="17"/>
    </row>
    <row r="89" spans="1:9" s="9" customFormat="1" ht="30" hidden="1" customHeight="1" x14ac:dyDescent="0.25">
      <c r="A89" s="200" t="s">
        <v>63</v>
      </c>
      <c r="B89" s="831" t="s">
        <v>64</v>
      </c>
      <c r="C89" s="199" t="s">
        <v>65</v>
      </c>
      <c r="D89" s="132" t="s">
        <v>81</v>
      </c>
      <c r="E89" s="147">
        <f>SUM(E92:E96)</f>
        <v>0</v>
      </c>
      <c r="F89" s="137">
        <f>SUM(F92:F96)</f>
        <v>0</v>
      </c>
      <c r="G89" s="207" t="e">
        <f>G90+#REF!</f>
        <v>#REF!</v>
      </c>
      <c r="H89" s="69" t="e">
        <f>H90+#REF!</f>
        <v>#REF!</v>
      </c>
    </row>
    <row r="90" spans="1:9" s="9" customFormat="1" ht="30" hidden="1" customHeight="1" x14ac:dyDescent="0.25">
      <c r="A90" s="198"/>
      <c r="B90" s="879"/>
      <c r="C90" s="6"/>
      <c r="D90" s="70" t="s">
        <v>79</v>
      </c>
      <c r="E90" s="64"/>
      <c r="F90" s="95"/>
      <c r="G90" s="63">
        <f>SUM(G91:G96)</f>
        <v>24</v>
      </c>
      <c r="H90" s="78">
        <f>SUM(H91:H96)</f>
        <v>800000</v>
      </c>
    </row>
    <row r="91" spans="1:9" s="16" customFormat="1" ht="15" hidden="1" customHeight="1" x14ac:dyDescent="0.25">
      <c r="A91" s="869"/>
      <c r="B91" s="879"/>
      <c r="C91" s="15"/>
      <c r="D91" s="83" t="s">
        <v>91</v>
      </c>
      <c r="E91" s="44"/>
      <c r="F91" s="41"/>
      <c r="G91" s="15"/>
      <c r="H91" s="53"/>
    </row>
    <row r="92" spans="1:9" s="1" customFormat="1" ht="15" hidden="1" customHeight="1" x14ac:dyDescent="0.25">
      <c r="A92" s="870"/>
      <c r="B92" s="879"/>
      <c r="C92" s="5"/>
      <c r="D92" s="83" t="s">
        <v>92</v>
      </c>
      <c r="E92" s="44"/>
      <c r="F92" s="38"/>
      <c r="G92" s="20"/>
      <c r="H92" s="17"/>
    </row>
    <row r="93" spans="1:9" s="1" customFormat="1" ht="15" hidden="1" customHeight="1" x14ac:dyDescent="0.25">
      <c r="A93" s="55"/>
      <c r="B93" s="879"/>
      <c r="C93" s="5"/>
      <c r="D93" s="83" t="s">
        <v>93</v>
      </c>
      <c r="E93" s="44"/>
      <c r="F93" s="39"/>
      <c r="G93" s="20">
        <v>4</v>
      </c>
      <c r="H93" s="17">
        <v>40000</v>
      </c>
    </row>
    <row r="94" spans="1:9" s="1" customFormat="1" ht="15" hidden="1" customHeight="1" x14ac:dyDescent="0.25">
      <c r="A94" s="55"/>
      <c r="B94" s="879"/>
      <c r="C94" s="5"/>
      <c r="D94" s="83" t="s">
        <v>94</v>
      </c>
      <c r="E94" s="44"/>
      <c r="F94" s="39"/>
      <c r="G94" s="20">
        <v>14</v>
      </c>
      <c r="H94" s="17">
        <f>700000</f>
        <v>700000</v>
      </c>
    </row>
    <row r="95" spans="1:9" s="1" customFormat="1" ht="15" hidden="1" customHeight="1" x14ac:dyDescent="0.25">
      <c r="A95" s="55"/>
      <c r="B95" s="879"/>
      <c r="C95" s="5"/>
      <c r="D95" s="83" t="s">
        <v>95</v>
      </c>
      <c r="E95" s="44"/>
      <c r="F95" s="39"/>
      <c r="G95" s="20"/>
      <c r="H95" s="17"/>
    </row>
    <row r="96" spans="1:9" s="1" customFormat="1" ht="15" hidden="1" customHeight="1" x14ac:dyDescent="0.25">
      <c r="A96" s="56"/>
      <c r="B96" s="966"/>
      <c r="C96" s="5"/>
      <c r="D96" s="83" t="s">
        <v>96</v>
      </c>
      <c r="E96" s="44"/>
      <c r="F96" s="62"/>
      <c r="G96" s="20">
        <v>6</v>
      </c>
      <c r="H96" s="17">
        <v>60000</v>
      </c>
    </row>
    <row r="97" spans="1:8" s="2" customFormat="1" ht="24" hidden="1" customHeight="1" x14ac:dyDescent="0.25">
      <c r="A97" s="201"/>
      <c r="B97" s="202"/>
      <c r="C97" s="63"/>
      <c r="D97" s="70" t="s">
        <v>80</v>
      </c>
      <c r="E97" s="70">
        <f>SUM(E98:E104)</f>
        <v>0</v>
      </c>
      <c r="F97" s="84">
        <f>SUM(F98:F104)</f>
        <v>0</v>
      </c>
      <c r="G97" s="70">
        <f>SUM(G98:G104)</f>
        <v>0</v>
      </c>
      <c r="H97" s="71">
        <f>SUM(H98:H104)</f>
        <v>0</v>
      </c>
    </row>
    <row r="98" spans="1:8" s="2" customFormat="1" ht="14.25" hidden="1" customHeight="1" x14ac:dyDescent="0.25">
      <c r="A98" s="201"/>
      <c r="B98" s="202"/>
      <c r="C98" s="4"/>
      <c r="D98" s="83" t="s">
        <v>100</v>
      </c>
      <c r="E98" s="30"/>
      <c r="F98" s="37"/>
      <c r="G98" s="4"/>
      <c r="H98" s="17"/>
    </row>
    <row r="99" spans="1:8" s="2" customFormat="1" ht="14.25" hidden="1" customHeight="1" x14ac:dyDescent="0.25">
      <c r="A99" s="201"/>
      <c r="B99" s="202"/>
      <c r="C99" s="4"/>
      <c r="D99" s="83" t="s">
        <v>101</v>
      </c>
      <c r="E99" s="30"/>
      <c r="F99" s="37"/>
      <c r="G99" s="4"/>
      <c r="H99" s="17"/>
    </row>
    <row r="100" spans="1:8" s="2" customFormat="1" ht="14.25" hidden="1" customHeight="1" x14ac:dyDescent="0.25">
      <c r="A100" s="201"/>
      <c r="B100" s="202"/>
      <c r="C100" s="4"/>
      <c r="D100" s="83" t="s">
        <v>102</v>
      </c>
      <c r="E100" s="30"/>
      <c r="F100" s="37"/>
      <c r="G100" s="4"/>
      <c r="H100" s="17"/>
    </row>
    <row r="101" spans="1:8" s="2" customFormat="1" ht="14.25" hidden="1" customHeight="1" x14ac:dyDescent="0.25">
      <c r="A101" s="201"/>
      <c r="B101" s="202"/>
      <c r="C101" s="4"/>
      <c r="D101" s="83" t="s">
        <v>103</v>
      </c>
      <c r="E101" s="30"/>
      <c r="F101" s="37"/>
      <c r="G101" s="4"/>
      <c r="H101" s="17"/>
    </row>
    <row r="102" spans="1:8" s="2" customFormat="1" ht="14.25" hidden="1" customHeight="1" x14ac:dyDescent="0.25">
      <c r="A102" s="201"/>
      <c r="B102" s="202"/>
      <c r="C102" s="4"/>
      <c r="D102" s="83" t="s">
        <v>104</v>
      </c>
      <c r="E102" s="30"/>
      <c r="F102" s="37"/>
      <c r="G102" s="4"/>
      <c r="H102" s="17"/>
    </row>
    <row r="103" spans="1:8" s="2" customFormat="1" ht="14.25" hidden="1" customHeight="1" x14ac:dyDescent="0.25">
      <c r="A103" s="201"/>
      <c r="B103" s="202"/>
      <c r="C103" s="4"/>
      <c r="D103" s="83" t="s">
        <v>105</v>
      </c>
      <c r="E103" s="30"/>
      <c r="F103" s="37"/>
      <c r="G103" s="4"/>
      <c r="H103" s="17"/>
    </row>
    <row r="104" spans="1:8" s="2" customFormat="1" ht="14.25" hidden="1" customHeight="1" x14ac:dyDescent="0.25">
      <c r="A104" s="201"/>
      <c r="B104" s="202"/>
      <c r="C104" s="4"/>
      <c r="D104" s="83" t="s">
        <v>106</v>
      </c>
      <c r="E104" s="30"/>
      <c r="F104" s="37"/>
      <c r="G104" s="4"/>
      <c r="H104" s="17"/>
    </row>
    <row r="105" spans="1:8" s="2" customFormat="1" ht="24" hidden="1" customHeight="1" x14ac:dyDescent="0.25">
      <c r="A105" s="201"/>
      <c r="B105" s="202"/>
      <c r="C105" s="63"/>
      <c r="D105" s="70" t="s">
        <v>97</v>
      </c>
      <c r="E105" s="70">
        <f>SUM(E106:E111)</f>
        <v>0</v>
      </c>
      <c r="F105" s="84">
        <f>SUM(F106:F111)</f>
        <v>0</v>
      </c>
      <c r="G105" s="70">
        <f>SUM(G106:G111)</f>
        <v>0</v>
      </c>
      <c r="H105" s="71">
        <f>SUM(H106:H111)</f>
        <v>0</v>
      </c>
    </row>
    <row r="106" spans="1:8" s="2" customFormat="1" ht="14.25" hidden="1" customHeight="1" x14ac:dyDescent="0.25">
      <c r="A106" s="201"/>
      <c r="B106" s="202"/>
      <c r="C106" s="4"/>
      <c r="D106" s="83" t="s">
        <v>107</v>
      </c>
      <c r="E106" s="30"/>
      <c r="F106" s="37"/>
      <c r="G106" s="4"/>
      <c r="H106" s="17"/>
    </row>
    <row r="107" spans="1:8" s="2" customFormat="1" ht="14.25" hidden="1" customHeight="1" x14ac:dyDescent="0.25">
      <c r="A107" s="201"/>
      <c r="B107" s="202"/>
      <c r="C107" s="4"/>
      <c r="D107" s="83" t="s">
        <v>108</v>
      </c>
      <c r="E107" s="30"/>
      <c r="F107" s="37"/>
      <c r="G107" s="4"/>
      <c r="H107" s="17"/>
    </row>
    <row r="108" spans="1:8" s="2" customFormat="1" ht="14.25" hidden="1" customHeight="1" x14ac:dyDescent="0.25">
      <c r="A108" s="201"/>
      <c r="B108" s="202"/>
      <c r="C108" s="4"/>
      <c r="D108" s="83" t="s">
        <v>109</v>
      </c>
      <c r="E108" s="30"/>
      <c r="F108" s="37"/>
      <c r="G108" s="4"/>
      <c r="H108" s="17"/>
    </row>
    <row r="109" spans="1:8" s="2" customFormat="1" ht="14.25" hidden="1" customHeight="1" x14ac:dyDescent="0.25">
      <c r="A109" s="201"/>
      <c r="B109" s="202"/>
      <c r="C109" s="4"/>
      <c r="D109" s="83" t="s">
        <v>110</v>
      </c>
      <c r="E109" s="30"/>
      <c r="F109" s="37"/>
      <c r="G109" s="4"/>
      <c r="H109" s="17"/>
    </row>
    <row r="110" spans="1:8" s="2" customFormat="1" ht="14.25" hidden="1" customHeight="1" x14ac:dyDescent="0.25">
      <c r="A110" s="201"/>
      <c r="B110" s="202"/>
      <c r="C110" s="4"/>
      <c r="D110" s="83" t="s">
        <v>111</v>
      </c>
      <c r="E110" s="30"/>
      <c r="F110" s="37"/>
      <c r="G110" s="4"/>
      <c r="H110" s="17"/>
    </row>
    <row r="111" spans="1:8" s="2" customFormat="1" ht="14.25" hidden="1" customHeight="1" x14ac:dyDescent="0.25">
      <c r="A111" s="201"/>
      <c r="B111" s="202"/>
      <c r="C111" s="4"/>
      <c r="D111" s="83" t="s">
        <v>112</v>
      </c>
      <c r="E111" s="30"/>
      <c r="F111" s="37"/>
      <c r="G111" s="4"/>
      <c r="H111" s="17"/>
    </row>
    <row r="112" spans="1:8" s="2" customFormat="1" ht="24" hidden="1" customHeight="1" x14ac:dyDescent="0.25">
      <c r="A112" s="201"/>
      <c r="B112" s="202"/>
      <c r="C112" s="63"/>
      <c r="D112" s="70" t="s">
        <v>98</v>
      </c>
      <c r="E112" s="70">
        <f>SUM(E113:E116)</f>
        <v>0</v>
      </c>
      <c r="F112" s="84">
        <f>SUM(F113:F116)</f>
        <v>0</v>
      </c>
      <c r="G112" s="70">
        <f>SUM(G113:G116)</f>
        <v>0</v>
      </c>
      <c r="H112" s="71">
        <f>SUM(H113:H116)</f>
        <v>0</v>
      </c>
    </row>
    <row r="113" spans="1:8" s="2" customFormat="1" ht="14.25" hidden="1" customHeight="1" x14ac:dyDescent="0.25">
      <c r="A113" s="201"/>
      <c r="B113" s="202"/>
      <c r="C113" s="4"/>
      <c r="D113" s="83" t="s">
        <v>113</v>
      </c>
      <c r="E113" s="30"/>
      <c r="F113" s="37"/>
      <c r="G113" s="4"/>
      <c r="H113" s="17"/>
    </row>
    <row r="114" spans="1:8" s="2" customFormat="1" ht="14.25" hidden="1" customHeight="1" x14ac:dyDescent="0.25">
      <c r="A114" s="201"/>
      <c r="B114" s="202"/>
      <c r="C114" s="4"/>
      <c r="D114" s="83" t="s">
        <v>114</v>
      </c>
      <c r="E114" s="30"/>
      <c r="F114" s="37"/>
      <c r="G114" s="4"/>
      <c r="H114" s="17"/>
    </row>
    <row r="115" spans="1:8" s="2" customFormat="1" ht="14.25" hidden="1" customHeight="1" x14ac:dyDescent="0.25">
      <c r="A115" s="201"/>
      <c r="B115" s="202"/>
      <c r="C115" s="4"/>
      <c r="D115" s="83" t="s">
        <v>115</v>
      </c>
      <c r="E115" s="30"/>
      <c r="F115" s="37"/>
      <c r="G115" s="4"/>
      <c r="H115" s="17"/>
    </row>
    <row r="116" spans="1:8" s="2" customFormat="1" ht="14.25" hidden="1" customHeight="1" x14ac:dyDescent="0.25">
      <c r="A116" s="201"/>
      <c r="B116" s="202"/>
      <c r="C116" s="4"/>
      <c r="D116" s="83" t="s">
        <v>116</v>
      </c>
      <c r="E116" s="30"/>
      <c r="F116" s="37"/>
      <c r="G116" s="4"/>
      <c r="H116" s="17"/>
    </row>
    <row r="117" spans="1:8" s="2" customFormat="1" ht="24" hidden="1" customHeight="1" x14ac:dyDescent="0.25">
      <c r="A117" s="201"/>
      <c r="B117" s="202"/>
      <c r="C117" s="63"/>
      <c r="D117" s="70" t="s">
        <v>99</v>
      </c>
      <c r="E117" s="70">
        <f>SUM(E118)</f>
        <v>0</v>
      </c>
      <c r="F117" s="84">
        <f>SUM(F118)</f>
        <v>0</v>
      </c>
      <c r="G117" s="70">
        <f>SUM(G118)</f>
        <v>0</v>
      </c>
      <c r="H117" s="84">
        <f>SUM(H118)</f>
        <v>0</v>
      </c>
    </row>
    <row r="118" spans="1:8" s="2" customFormat="1" ht="14.25" hidden="1" customHeight="1" x14ac:dyDescent="0.25">
      <c r="A118" s="201"/>
      <c r="B118" s="202"/>
      <c r="C118" s="4"/>
      <c r="D118" s="83" t="s">
        <v>117</v>
      </c>
      <c r="E118" s="30"/>
      <c r="F118" s="37"/>
      <c r="G118" s="4"/>
      <c r="H118" s="17"/>
    </row>
    <row r="119" spans="1:8" s="8" customFormat="1" ht="8.25" hidden="1" customHeight="1" x14ac:dyDescent="0.25">
      <c r="A119" s="60"/>
      <c r="B119" s="60"/>
      <c r="C119" s="60"/>
      <c r="D119" s="60"/>
      <c r="E119" s="60"/>
      <c r="F119" s="96"/>
      <c r="G119" s="60"/>
      <c r="H119" s="60"/>
    </row>
    <row r="120" spans="1:8" s="8" customFormat="1" ht="5.25" customHeight="1" x14ac:dyDescent="0.25">
      <c r="A120" s="7"/>
      <c r="B120" s="7"/>
      <c r="C120" s="7"/>
      <c r="D120" s="7"/>
      <c r="E120" s="7"/>
      <c r="F120" s="93"/>
      <c r="G120" s="7"/>
      <c r="H120" s="7"/>
    </row>
    <row r="121" spans="1:8" s="9" customFormat="1" ht="23.25" customHeight="1" x14ac:dyDescent="0.25">
      <c r="A121" s="198" t="s">
        <v>67</v>
      </c>
      <c r="B121" s="831" t="s">
        <v>68</v>
      </c>
      <c r="C121" s="926" t="s">
        <v>65</v>
      </c>
      <c r="D121" s="70" t="s">
        <v>80</v>
      </c>
      <c r="E121" s="70">
        <f>SUM(E122:E128)</f>
        <v>1913</v>
      </c>
      <c r="F121" s="84">
        <f>SUM(F122:F128)</f>
        <v>459012.5</v>
      </c>
      <c r="G121" s="70">
        <f>SUM(G122:G128)</f>
        <v>0</v>
      </c>
      <c r="H121" s="71">
        <f>SUM(H122:H128)</f>
        <v>0</v>
      </c>
    </row>
    <row r="122" spans="1:8" s="9" customFormat="1" ht="18.75" customHeight="1" x14ac:dyDescent="0.25">
      <c r="A122" s="198"/>
      <c r="B122" s="879"/>
      <c r="C122" s="927"/>
      <c r="D122" s="83" t="s">
        <v>100</v>
      </c>
      <c r="E122" s="30"/>
      <c r="F122" s="37"/>
      <c r="G122" s="4"/>
      <c r="H122" s="17"/>
    </row>
    <row r="123" spans="1:8" s="16" customFormat="1" ht="15" customHeight="1" x14ac:dyDescent="0.25">
      <c r="A123" s="869"/>
      <c r="B123" s="879"/>
      <c r="C123" s="15"/>
      <c r="D123" s="83" t="s">
        <v>101</v>
      </c>
      <c r="E123" s="30">
        <f>450</f>
        <v>450</v>
      </c>
      <c r="F123" s="37">
        <f>112500</f>
        <v>112500</v>
      </c>
      <c r="G123" s="4"/>
      <c r="H123" s="17"/>
    </row>
    <row r="124" spans="1:8" s="1" customFormat="1" x14ac:dyDescent="0.25">
      <c r="A124" s="870"/>
      <c r="B124" s="879"/>
      <c r="C124" s="5"/>
      <c r="D124" s="83" t="s">
        <v>102</v>
      </c>
      <c r="E124" s="30">
        <f>378+68</f>
        <v>446</v>
      </c>
      <c r="F124" s="37">
        <f>76725+16830</f>
        <v>93555</v>
      </c>
      <c r="G124" s="4"/>
      <c r="H124" s="17"/>
    </row>
    <row r="125" spans="1:8" s="1" customFormat="1" x14ac:dyDescent="0.25">
      <c r="A125" s="55"/>
      <c r="B125" s="879"/>
      <c r="C125" s="5"/>
      <c r="D125" s="83" t="s">
        <v>103</v>
      </c>
      <c r="E125" s="30">
        <f>500</f>
        <v>500</v>
      </c>
      <c r="F125" s="37">
        <f>125000</f>
        <v>125000</v>
      </c>
      <c r="G125" s="4"/>
      <c r="H125" s="17"/>
    </row>
    <row r="126" spans="1:8" s="1" customFormat="1" x14ac:dyDescent="0.25">
      <c r="A126" s="55"/>
      <c r="B126" s="879"/>
      <c r="C126" s="5"/>
      <c r="D126" s="83" t="s">
        <v>104</v>
      </c>
      <c r="E126" s="30">
        <f>517</f>
        <v>517</v>
      </c>
      <c r="F126" s="37">
        <f>127957.5</f>
        <v>127957.5</v>
      </c>
      <c r="G126" s="4"/>
      <c r="H126" s="17"/>
    </row>
    <row r="127" spans="1:8" s="1" customFormat="1" x14ac:dyDescent="0.25">
      <c r="A127" s="55"/>
      <c r="B127" s="879"/>
      <c r="C127" s="5"/>
      <c r="D127" s="83" t="s">
        <v>105</v>
      </c>
      <c r="E127" s="30"/>
      <c r="F127" s="37"/>
      <c r="G127" s="4"/>
      <c r="H127" s="17"/>
    </row>
    <row r="128" spans="1:8" s="1" customFormat="1" x14ac:dyDescent="0.25">
      <c r="A128" s="56"/>
      <c r="B128" s="966"/>
      <c r="C128" s="5"/>
      <c r="D128" s="83" t="s">
        <v>106</v>
      </c>
      <c r="E128" s="30"/>
      <c r="F128" s="37"/>
      <c r="G128" s="4"/>
      <c r="H128" s="17"/>
    </row>
    <row r="129" spans="1:6" x14ac:dyDescent="0.25">
      <c r="A129" t="s">
        <v>26</v>
      </c>
      <c r="B129" t="s">
        <v>28</v>
      </c>
      <c r="D129" t="s">
        <v>31</v>
      </c>
      <c r="F129"/>
    </row>
    <row r="130" spans="1:6" x14ac:dyDescent="0.25">
      <c r="F130"/>
    </row>
    <row r="131" spans="1:6" x14ac:dyDescent="0.25">
      <c r="F131"/>
    </row>
    <row r="132" spans="1:6" x14ac:dyDescent="0.25">
      <c r="F132"/>
    </row>
    <row r="133" spans="1:6" x14ac:dyDescent="0.25">
      <c r="A133" t="s">
        <v>27</v>
      </c>
      <c r="B133" t="s">
        <v>29</v>
      </c>
      <c r="D133" t="s">
        <v>32</v>
      </c>
      <c r="F133"/>
    </row>
    <row r="134" spans="1:6" x14ac:dyDescent="0.25">
      <c r="A134" t="s">
        <v>223</v>
      </c>
      <c r="B134" t="s">
        <v>30</v>
      </c>
      <c r="D134" t="s">
        <v>33</v>
      </c>
      <c r="F134"/>
    </row>
  </sheetData>
  <mergeCells count="39">
    <mergeCell ref="A1:H1"/>
    <mergeCell ref="A2:H2"/>
    <mergeCell ref="A4:H4"/>
    <mergeCell ref="A5:H5"/>
    <mergeCell ref="A7:A8"/>
    <mergeCell ref="B7:B8"/>
    <mergeCell ref="C7:C8"/>
    <mergeCell ref="D7:D8"/>
    <mergeCell ref="E7:E8"/>
    <mergeCell ref="F7:F8"/>
    <mergeCell ref="G7:H7"/>
    <mergeCell ref="C11:C12"/>
    <mergeCell ref="A14:A18"/>
    <mergeCell ref="A29:A30"/>
    <mergeCell ref="B29:B36"/>
    <mergeCell ref="C29:C30"/>
    <mergeCell ref="A20:A21"/>
    <mergeCell ref="B20:B27"/>
    <mergeCell ref="C20:C21"/>
    <mergeCell ref="A11:A12"/>
    <mergeCell ref="B11:B18"/>
    <mergeCell ref="A46:A47"/>
    <mergeCell ref="B46:B49"/>
    <mergeCell ref="C46:C53"/>
    <mergeCell ref="B55:B58"/>
    <mergeCell ref="C55:C62"/>
    <mergeCell ref="A64:A65"/>
    <mergeCell ref="B64:B70"/>
    <mergeCell ref="C64:C65"/>
    <mergeCell ref="B121:B128"/>
    <mergeCell ref="C121:C122"/>
    <mergeCell ref="A123:A124"/>
    <mergeCell ref="B73:B75"/>
    <mergeCell ref="A74:A79"/>
    <mergeCell ref="A81:A82"/>
    <mergeCell ref="B81:B88"/>
    <mergeCell ref="C81:C82"/>
    <mergeCell ref="B89:B96"/>
    <mergeCell ref="A91:A92"/>
  </mergeCells>
  <printOptions horizontalCentered="1"/>
  <pageMargins left="0.52" right="0.67" top="0.68" bottom="0.69" header="0.3" footer="0.4"/>
  <pageSetup paperSize="9" scale="80" orientation="landscape" verticalDpi="300" r:id="rId1"/>
  <headerFooter>
    <oddFooter>&amp;LProvince of Bulacan
&amp;CPage &amp;P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6" sqref="A6:F12"/>
    </sheetView>
  </sheetViews>
  <sheetFormatPr defaultRowHeight="15" x14ac:dyDescent="0.25"/>
  <cols>
    <col min="1" max="1" width="30.85546875" customWidth="1"/>
    <col min="2" max="2" width="42" customWidth="1"/>
    <col min="3" max="3" width="16.7109375"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16"/>
      <c r="B3" s="216"/>
      <c r="C3" s="216"/>
      <c r="D3" s="216"/>
      <c r="E3" s="216"/>
    </row>
    <row r="4" spans="1:5" s="47" customFormat="1" ht="15.75" x14ac:dyDescent="0.25">
      <c r="A4" s="844" t="s">
        <v>258</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80</v>
      </c>
      <c r="D8" s="224">
        <f>SUM(D9:D9)</f>
        <v>1</v>
      </c>
      <c r="E8" s="84">
        <f>SUM(E9:E9)</f>
        <v>3000000</v>
      </c>
    </row>
    <row r="9" spans="1:5" s="2" customFormat="1" ht="71.25" customHeight="1" x14ac:dyDescent="0.25">
      <c r="A9" s="873"/>
      <c r="B9" s="1065"/>
      <c r="C9" s="196" t="s">
        <v>102</v>
      </c>
      <c r="D9" s="233">
        <v>1</v>
      </c>
      <c r="E9" s="234">
        <v>3000000</v>
      </c>
    </row>
    <row r="10" spans="1:5" ht="21" customHeight="1" x14ac:dyDescent="0.3">
      <c r="A10" s="52"/>
      <c r="B10" s="258"/>
      <c r="C10" s="115"/>
      <c r="D10" s="251"/>
      <c r="E10" s="252"/>
    </row>
    <row r="11" spans="1:5" ht="15" customHeight="1" x14ac:dyDescent="0.25">
      <c r="A11" s="52"/>
      <c r="B11" s="258"/>
      <c r="C11" s="115"/>
      <c r="D11" s="251"/>
      <c r="E11" s="252"/>
    </row>
    <row r="12" spans="1:5" x14ac:dyDescent="0.25">
      <c r="A12" t="s">
        <v>27</v>
      </c>
      <c r="B12" t="s">
        <v>29</v>
      </c>
      <c r="D12" t="s">
        <v>32</v>
      </c>
    </row>
    <row r="13" spans="1:5" x14ac:dyDescent="0.25">
      <c r="A13" t="s">
        <v>223</v>
      </c>
      <c r="B13" t="s">
        <v>30</v>
      </c>
      <c r="D13" t="s">
        <v>33</v>
      </c>
    </row>
  </sheetData>
  <mergeCells count="10">
    <mergeCell ref="A8:A9"/>
    <mergeCell ref="B8:B9"/>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topLeftCell="A58" workbookViewId="0">
      <selection activeCell="A6" sqref="A6:F12"/>
    </sheetView>
  </sheetViews>
  <sheetFormatPr defaultRowHeight="15" x14ac:dyDescent="0.25"/>
  <cols>
    <col min="1" max="1" width="30.85546875" customWidth="1"/>
    <col min="2" max="2" width="42" customWidth="1"/>
    <col min="3" max="3" width="13.42578125" customWidth="1"/>
    <col min="4" max="4" width="20.28515625" customWidth="1"/>
    <col min="5" max="5" width="10.85546875" customWidth="1"/>
    <col min="6" max="6" width="16.42578125" style="97" customWidth="1"/>
    <col min="7" max="7" width="11.140625" customWidth="1"/>
    <col min="8" max="8" width="19.5703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04"/>
      <c r="B3" s="204"/>
      <c r="C3" s="204"/>
      <c r="D3" s="204"/>
      <c r="E3" s="204"/>
      <c r="F3" s="90"/>
      <c r="G3" s="204"/>
      <c r="H3" s="204"/>
    </row>
    <row r="4" spans="1:8" s="47" customFormat="1" ht="15.75" x14ac:dyDescent="0.25">
      <c r="A4" s="844" t="s">
        <v>228</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06" t="s">
        <v>48</v>
      </c>
      <c r="H8" s="206" t="s">
        <v>60</v>
      </c>
    </row>
    <row r="9" spans="1:8" s="12" customFormat="1" ht="20.25" customHeight="1" x14ac:dyDescent="0.25">
      <c r="A9" s="10" t="s">
        <v>14</v>
      </c>
      <c r="B9" s="10"/>
      <c r="C9" s="11"/>
      <c r="D9" s="11"/>
      <c r="E9" s="14"/>
      <c r="F9" s="139">
        <f>F11+F19+F27+F35+F43+F51+F67+F107+F135</f>
        <v>119876272.5</v>
      </c>
      <c r="G9" s="11"/>
      <c r="H9" s="139">
        <f>H11+H19+H27+H35+H43+H51+H67+H107+H135</f>
        <v>277105200</v>
      </c>
    </row>
    <row r="10" spans="1:8" s="8" customFormat="1" ht="8.25" customHeight="1" x14ac:dyDescent="0.25">
      <c r="A10" s="7"/>
      <c r="B10" s="7"/>
      <c r="C10" s="7"/>
      <c r="D10" s="7"/>
      <c r="E10" s="7"/>
      <c r="F10" s="93"/>
      <c r="G10" s="7"/>
      <c r="H10" s="7"/>
    </row>
    <row r="11" spans="1:8" s="3" customFormat="1" ht="19.5" customHeight="1" x14ac:dyDescent="0.25">
      <c r="A11" s="926" t="s">
        <v>5</v>
      </c>
      <c r="B11" s="831" t="s">
        <v>50</v>
      </c>
      <c r="C11" s="967" t="s">
        <v>21</v>
      </c>
      <c r="D11" s="70" t="s">
        <v>97</v>
      </c>
      <c r="E11" s="70">
        <f>SUM(E12:E17)</f>
        <v>15581</v>
      </c>
      <c r="F11" s="84">
        <f>SUM(F12:F17)</f>
        <v>101673900</v>
      </c>
      <c r="G11" s="70">
        <f>SUM(G12:G17)</f>
        <v>16257</v>
      </c>
      <c r="H11" s="71">
        <f>SUM(H12:H17)</f>
        <v>243855000</v>
      </c>
    </row>
    <row r="12" spans="1:8" s="3" customFormat="1" ht="21.75" customHeight="1" x14ac:dyDescent="0.25">
      <c r="A12" s="927"/>
      <c r="B12" s="832"/>
      <c r="C12" s="968"/>
      <c r="D12" s="83" t="s">
        <v>107</v>
      </c>
      <c r="E12" s="30">
        <v>1242</v>
      </c>
      <c r="F12" s="37">
        <v>7841200</v>
      </c>
      <c r="G12" s="4">
        <v>1295</v>
      </c>
      <c r="H12" s="17">
        <v>19425000</v>
      </c>
    </row>
    <row r="13" spans="1:8" s="2" customFormat="1" ht="14.25" customHeight="1" x14ac:dyDescent="0.25">
      <c r="A13" s="18"/>
      <c r="B13" s="832"/>
      <c r="C13" s="4"/>
      <c r="D13" s="83" t="s">
        <v>108</v>
      </c>
      <c r="E13" s="30">
        <v>1810</v>
      </c>
      <c r="F13" s="37">
        <v>11644100</v>
      </c>
      <c r="G13" s="4">
        <v>1835</v>
      </c>
      <c r="H13" s="17">
        <v>27525000</v>
      </c>
    </row>
    <row r="14" spans="1:8" s="2" customFormat="1" ht="14.25" customHeight="1" x14ac:dyDescent="0.25">
      <c r="A14" s="972"/>
      <c r="B14" s="832"/>
      <c r="C14" s="4"/>
      <c r="D14" s="83" t="s">
        <v>109</v>
      </c>
      <c r="E14" s="30">
        <v>3113</v>
      </c>
      <c r="F14" s="37">
        <v>19761700</v>
      </c>
      <c r="G14" s="4">
        <v>3256</v>
      </c>
      <c r="H14" s="17">
        <v>48840000</v>
      </c>
    </row>
    <row r="15" spans="1:8" s="2" customFormat="1" ht="14.25" customHeight="1" x14ac:dyDescent="0.25">
      <c r="A15" s="918"/>
      <c r="B15" s="832"/>
      <c r="C15" s="4"/>
      <c r="D15" s="83" t="s">
        <v>110</v>
      </c>
      <c r="E15" s="30">
        <v>2738</v>
      </c>
      <c r="F15" s="37">
        <v>18948900</v>
      </c>
      <c r="G15" s="4">
        <v>2858</v>
      </c>
      <c r="H15" s="17">
        <v>42870000</v>
      </c>
    </row>
    <row r="16" spans="1:8" s="2" customFormat="1" ht="14.25" customHeight="1" x14ac:dyDescent="0.25">
      <c r="A16" s="918"/>
      <c r="B16" s="832"/>
      <c r="C16" s="4"/>
      <c r="D16" s="83" t="s">
        <v>111</v>
      </c>
      <c r="E16" s="30">
        <v>4623</v>
      </c>
      <c r="F16" s="37">
        <v>29254300</v>
      </c>
      <c r="G16" s="4">
        <v>4865</v>
      </c>
      <c r="H16" s="17">
        <v>72975000</v>
      </c>
    </row>
    <row r="17" spans="1:8" s="2" customFormat="1" ht="14.25" customHeight="1" x14ac:dyDescent="0.25">
      <c r="A17" s="918"/>
      <c r="B17" s="832"/>
      <c r="C17" s="4"/>
      <c r="D17" s="83" t="s">
        <v>112</v>
      </c>
      <c r="E17" s="30">
        <v>2055</v>
      </c>
      <c r="F17" s="37">
        <v>14223700</v>
      </c>
      <c r="G17" s="4">
        <v>2148</v>
      </c>
      <c r="H17" s="17">
        <v>32220000</v>
      </c>
    </row>
    <row r="18" spans="1:8" s="8" customFormat="1" ht="8.25" customHeight="1" x14ac:dyDescent="0.25">
      <c r="A18" s="7"/>
      <c r="B18" s="7"/>
      <c r="C18" s="7"/>
      <c r="D18" s="7"/>
      <c r="E18" s="7"/>
      <c r="F18" s="93"/>
      <c r="G18" s="7"/>
      <c r="H18" s="7"/>
    </row>
    <row r="19" spans="1:8" s="9" customFormat="1" ht="20.25" customHeight="1" x14ac:dyDescent="0.25">
      <c r="A19" s="926" t="s">
        <v>61</v>
      </c>
      <c r="B19" s="831" t="s">
        <v>62</v>
      </c>
      <c r="C19" s="967" t="s">
        <v>21</v>
      </c>
      <c r="D19" s="70" t="s">
        <v>97</v>
      </c>
      <c r="E19" s="70">
        <f>SUM(E20:E25)</f>
        <v>63</v>
      </c>
      <c r="F19" s="84">
        <f>SUM(F20:F25)</f>
        <v>332800</v>
      </c>
      <c r="G19" s="70">
        <f>SUM(G20:G25)</f>
        <v>0</v>
      </c>
      <c r="H19" s="71">
        <f>SUM(H20:H25)</f>
        <v>0</v>
      </c>
    </row>
    <row r="20" spans="1:8" s="9" customFormat="1" ht="21" customHeight="1" x14ac:dyDescent="0.25">
      <c r="A20" s="927"/>
      <c r="B20" s="832"/>
      <c r="C20" s="968"/>
      <c r="D20" s="83" t="s">
        <v>107</v>
      </c>
      <c r="E20" s="30">
        <f>58</f>
        <v>58</v>
      </c>
      <c r="F20" s="37">
        <f>292500</f>
        <v>292500</v>
      </c>
      <c r="G20" s="4"/>
      <c r="H20" s="17"/>
    </row>
    <row r="21" spans="1:8" s="2" customFormat="1" ht="15" customHeight="1" x14ac:dyDescent="0.25">
      <c r="A21" s="208"/>
      <c r="B21" s="832"/>
      <c r="C21" s="4"/>
      <c r="D21" s="83" t="s">
        <v>108</v>
      </c>
      <c r="E21" s="30"/>
      <c r="F21" s="37"/>
      <c r="G21" s="4"/>
      <c r="H21" s="17"/>
    </row>
    <row r="22" spans="1:8" s="2" customFormat="1" ht="15" customHeight="1" x14ac:dyDescent="0.25">
      <c r="A22" s="209"/>
      <c r="B22" s="832"/>
      <c r="C22" s="4"/>
      <c r="D22" s="83" t="s">
        <v>109</v>
      </c>
      <c r="E22" s="30"/>
      <c r="F22" s="37"/>
      <c r="G22" s="4"/>
      <c r="H22" s="17"/>
    </row>
    <row r="23" spans="1:8" s="2" customFormat="1" ht="15" customHeight="1" x14ac:dyDescent="0.25">
      <c r="A23" s="209"/>
      <c r="B23" s="832"/>
      <c r="C23" s="4"/>
      <c r="D23" s="83" t="s">
        <v>110</v>
      </c>
      <c r="E23" s="30"/>
      <c r="F23" s="37"/>
      <c r="G23" s="4"/>
      <c r="H23" s="17"/>
    </row>
    <row r="24" spans="1:8" s="2" customFormat="1" ht="15" customHeight="1" x14ac:dyDescent="0.25">
      <c r="A24" s="209"/>
      <c r="B24" s="832"/>
      <c r="C24" s="4"/>
      <c r="D24" s="83" t="s">
        <v>111</v>
      </c>
      <c r="E24" s="30"/>
      <c r="F24" s="37"/>
      <c r="G24" s="4"/>
      <c r="H24" s="17"/>
    </row>
    <row r="25" spans="1:8" s="2" customFormat="1" ht="15" customHeight="1" x14ac:dyDescent="0.25">
      <c r="A25" s="209"/>
      <c r="B25" s="832"/>
      <c r="C25" s="4"/>
      <c r="D25" s="83" t="s">
        <v>112</v>
      </c>
      <c r="E25" s="30">
        <f>5</f>
        <v>5</v>
      </c>
      <c r="F25" s="37">
        <f>40300</f>
        <v>40300</v>
      </c>
      <c r="G25" s="4"/>
      <c r="H25" s="17"/>
    </row>
    <row r="26" spans="1:8" s="8" customFormat="1" ht="8.25" customHeight="1" x14ac:dyDescent="0.25">
      <c r="A26" s="7"/>
      <c r="B26" s="7"/>
      <c r="C26" s="7"/>
      <c r="D26" s="7"/>
      <c r="E26" s="7"/>
      <c r="F26" s="93"/>
      <c r="G26" s="7"/>
      <c r="H26" s="7"/>
    </row>
    <row r="27" spans="1:8" s="9" customFormat="1" ht="20.25" customHeight="1" x14ac:dyDescent="0.25">
      <c r="A27" s="926" t="s">
        <v>7</v>
      </c>
      <c r="B27" s="832" t="s">
        <v>52</v>
      </c>
      <c r="C27" s="967" t="s">
        <v>53</v>
      </c>
      <c r="D27" s="70" t="s">
        <v>97</v>
      </c>
      <c r="E27" s="70">
        <f>SUM(E28:E33)</f>
        <v>228</v>
      </c>
      <c r="F27" s="84">
        <f>SUM(F28:F33)</f>
        <v>2570000</v>
      </c>
      <c r="G27" s="70">
        <f>SUM(G28:G33)</f>
        <v>265</v>
      </c>
      <c r="H27" s="71">
        <f>SUM(H28:H33)</f>
        <v>1650000</v>
      </c>
    </row>
    <row r="28" spans="1:8" s="9" customFormat="1" ht="18" customHeight="1" x14ac:dyDescent="0.25">
      <c r="A28" s="927"/>
      <c r="B28" s="832"/>
      <c r="C28" s="968"/>
      <c r="D28" s="83" t="s">
        <v>107</v>
      </c>
      <c r="E28" s="30">
        <f>1</f>
        <v>1</v>
      </c>
      <c r="F28" s="37">
        <f>10000</f>
        <v>10000</v>
      </c>
      <c r="G28" s="4">
        <v>15</v>
      </c>
      <c r="H28" s="17">
        <v>150000</v>
      </c>
    </row>
    <row r="29" spans="1:8" s="2" customFormat="1" ht="15" customHeight="1" x14ac:dyDescent="0.25">
      <c r="A29" s="4"/>
      <c r="B29" s="832"/>
      <c r="C29" s="4"/>
      <c r="D29" s="83" t="s">
        <v>108</v>
      </c>
      <c r="E29" s="30">
        <f>2+1</f>
        <v>3</v>
      </c>
      <c r="F29" s="37">
        <f>20000+10000</f>
        <v>30000</v>
      </c>
      <c r="G29" s="4">
        <v>60</v>
      </c>
      <c r="H29" s="17">
        <v>300000</v>
      </c>
    </row>
    <row r="30" spans="1:8" s="2" customFormat="1" ht="15" customHeight="1" x14ac:dyDescent="0.25">
      <c r="A30" s="4"/>
      <c r="B30" s="832"/>
      <c r="C30" s="4"/>
      <c r="D30" s="83" t="s">
        <v>109</v>
      </c>
      <c r="E30" s="30"/>
      <c r="F30" s="37"/>
      <c r="G30" s="4">
        <v>30</v>
      </c>
      <c r="H30" s="17">
        <v>300000</v>
      </c>
    </row>
    <row r="31" spans="1:8" s="2" customFormat="1" ht="15" customHeight="1" x14ac:dyDescent="0.25">
      <c r="A31" s="4"/>
      <c r="B31" s="832"/>
      <c r="C31" s="4"/>
      <c r="D31" s="83" t="s">
        <v>110</v>
      </c>
      <c r="E31" s="30">
        <f>147+4+7</f>
        <v>158</v>
      </c>
      <c r="F31" s="37">
        <f>1420000+450000</f>
        <v>1870000</v>
      </c>
      <c r="G31" s="4">
        <v>50</v>
      </c>
      <c r="H31" s="17">
        <v>300000</v>
      </c>
    </row>
    <row r="32" spans="1:8" s="2" customFormat="1" ht="15" customHeight="1" x14ac:dyDescent="0.25">
      <c r="A32" s="4"/>
      <c r="B32" s="832"/>
      <c r="C32" s="4"/>
      <c r="D32" s="83" t="s">
        <v>111</v>
      </c>
      <c r="E32" s="30">
        <f>4</f>
        <v>4</v>
      </c>
      <c r="F32" s="37">
        <f>40000</f>
        <v>40000</v>
      </c>
      <c r="G32" s="4">
        <v>60</v>
      </c>
      <c r="H32" s="17">
        <v>300000</v>
      </c>
    </row>
    <row r="33" spans="1:8" s="2" customFormat="1" ht="15" customHeight="1" x14ac:dyDescent="0.25">
      <c r="A33" s="4"/>
      <c r="B33" s="832"/>
      <c r="C33" s="4"/>
      <c r="D33" s="83" t="s">
        <v>112</v>
      </c>
      <c r="E33" s="30">
        <f>61+1</f>
        <v>62</v>
      </c>
      <c r="F33" s="37">
        <f>610000+10000</f>
        <v>620000</v>
      </c>
      <c r="G33" s="4">
        <v>50</v>
      </c>
      <c r="H33" s="17">
        <v>300000</v>
      </c>
    </row>
    <row r="34" spans="1:8" s="8" customFormat="1" ht="8.25" customHeight="1" x14ac:dyDescent="0.25">
      <c r="A34" s="7"/>
      <c r="B34" s="7"/>
      <c r="C34" s="7"/>
      <c r="D34" s="7"/>
      <c r="E34" s="7"/>
      <c r="F34" s="93"/>
      <c r="G34" s="7"/>
      <c r="H34" s="7"/>
    </row>
    <row r="35" spans="1:8" s="9" customFormat="1" ht="15.75" customHeight="1" x14ac:dyDescent="0.25">
      <c r="A35" s="926" t="s">
        <v>6</v>
      </c>
      <c r="B35" s="831" t="s">
        <v>54</v>
      </c>
      <c r="C35" s="856" t="s">
        <v>20</v>
      </c>
      <c r="D35" s="70" t="s">
        <v>97</v>
      </c>
      <c r="E35" s="70">
        <f>SUM(E36:E41)</f>
        <v>5900</v>
      </c>
      <c r="F35" s="84">
        <f>SUM(F36:F41)</f>
        <v>9274800</v>
      </c>
      <c r="G35" s="70">
        <f>SUM(G36:G41)</f>
        <v>14195</v>
      </c>
      <c r="H35" s="71">
        <f>SUM(H36:H41)</f>
        <v>22144200</v>
      </c>
    </row>
    <row r="36" spans="1:8" s="9" customFormat="1" ht="20.25" customHeight="1" x14ac:dyDescent="0.25">
      <c r="A36" s="927"/>
      <c r="B36" s="832"/>
      <c r="C36" s="857"/>
      <c r="D36" s="83" t="s">
        <v>107</v>
      </c>
      <c r="E36" s="30">
        <v>1300</v>
      </c>
      <c r="F36" s="37">
        <v>2043600</v>
      </c>
      <c r="G36" s="4">
        <v>1644</v>
      </c>
      <c r="H36" s="17">
        <v>2564640</v>
      </c>
    </row>
    <row r="37" spans="1:8" s="22" customFormat="1" ht="14.25" customHeight="1" x14ac:dyDescent="0.25">
      <c r="A37" s="21"/>
      <c r="B37" s="832"/>
      <c r="C37" s="857"/>
      <c r="D37" s="83" t="s">
        <v>108</v>
      </c>
      <c r="E37" s="30"/>
      <c r="F37" s="37"/>
      <c r="G37" s="4">
        <v>1760</v>
      </c>
      <c r="H37" s="17">
        <v>2745600</v>
      </c>
    </row>
    <row r="38" spans="1:8" s="22" customFormat="1" x14ac:dyDescent="0.25">
      <c r="A38" s="21"/>
      <c r="B38" s="833"/>
      <c r="C38" s="857"/>
      <c r="D38" s="83" t="s">
        <v>109</v>
      </c>
      <c r="E38" s="30"/>
      <c r="F38" s="37"/>
      <c r="G38" s="4">
        <v>2231</v>
      </c>
      <c r="H38" s="17">
        <v>3480360</v>
      </c>
    </row>
    <row r="39" spans="1:8" s="22" customFormat="1" x14ac:dyDescent="0.25">
      <c r="A39" s="21"/>
      <c r="B39" s="21"/>
      <c r="C39" s="857"/>
      <c r="D39" s="83" t="s">
        <v>110</v>
      </c>
      <c r="E39" s="30">
        <v>1900</v>
      </c>
      <c r="F39" s="37">
        <v>2986800</v>
      </c>
      <c r="G39" s="4">
        <v>2780</v>
      </c>
      <c r="H39" s="17">
        <v>4336800</v>
      </c>
    </row>
    <row r="40" spans="1:8" s="22" customFormat="1" x14ac:dyDescent="0.25">
      <c r="A40" s="21"/>
      <c r="B40" s="21"/>
      <c r="C40" s="857"/>
      <c r="D40" s="83" t="s">
        <v>111</v>
      </c>
      <c r="E40" s="30">
        <v>2700</v>
      </c>
      <c r="F40" s="37">
        <v>4244400</v>
      </c>
      <c r="G40" s="4">
        <v>3240</v>
      </c>
      <c r="H40" s="17">
        <v>5054400</v>
      </c>
    </row>
    <row r="41" spans="1:8" s="22" customFormat="1" x14ac:dyDescent="0.25">
      <c r="A41" s="21"/>
      <c r="B41" s="21"/>
      <c r="C41" s="857"/>
      <c r="D41" s="83" t="s">
        <v>112</v>
      </c>
      <c r="E41" s="30"/>
      <c r="F41" s="37"/>
      <c r="G41" s="4">
        <v>2540</v>
      </c>
      <c r="H41" s="17">
        <v>3962400</v>
      </c>
    </row>
    <row r="42" spans="1:8" s="8" customFormat="1" ht="8.25" customHeight="1" x14ac:dyDescent="0.25">
      <c r="A42" s="7"/>
      <c r="B42" s="7"/>
      <c r="C42" s="7"/>
      <c r="D42" s="7"/>
      <c r="E42" s="7"/>
      <c r="F42" s="93"/>
      <c r="G42" s="7"/>
      <c r="H42" s="7"/>
    </row>
    <row r="43" spans="1:8" s="9" customFormat="1" ht="21.75" customHeight="1" x14ac:dyDescent="0.25">
      <c r="A43" s="6" t="s">
        <v>16</v>
      </c>
      <c r="B43" s="856" t="s">
        <v>55</v>
      </c>
      <c r="C43" s="856" t="s">
        <v>19</v>
      </c>
      <c r="D43" s="70" t="s">
        <v>97</v>
      </c>
      <c r="E43" s="70">
        <f>SUM(E44:E49)</f>
        <v>698</v>
      </c>
      <c r="F43" s="84">
        <f>SUM(F44:F49)</f>
        <v>2646500</v>
      </c>
      <c r="G43" s="70">
        <f>SUM(G44:G49)</f>
        <v>1576</v>
      </c>
      <c r="H43" s="71">
        <f>SUM(H44:H49)</f>
        <v>9456000</v>
      </c>
    </row>
    <row r="44" spans="1:8" s="9" customFormat="1" ht="21" customHeight="1" x14ac:dyDescent="0.25">
      <c r="A44" s="6"/>
      <c r="B44" s="857"/>
      <c r="C44" s="857"/>
      <c r="D44" s="83" t="s">
        <v>107</v>
      </c>
      <c r="E44" s="101">
        <v>80</v>
      </c>
      <c r="F44" s="37">
        <v>327000</v>
      </c>
      <c r="G44" s="4">
        <v>230</v>
      </c>
      <c r="H44" s="17">
        <v>1380000</v>
      </c>
    </row>
    <row r="45" spans="1:8" s="1" customFormat="1" ht="18" customHeight="1" x14ac:dyDescent="0.25">
      <c r="A45" s="5"/>
      <c r="B45" s="857"/>
      <c r="C45" s="857"/>
      <c r="D45" s="83" t="s">
        <v>108</v>
      </c>
      <c r="E45" s="101">
        <v>88</v>
      </c>
      <c r="F45" s="37">
        <v>324000</v>
      </c>
      <c r="G45" s="4">
        <v>248</v>
      </c>
      <c r="H45" s="17">
        <v>1488000</v>
      </c>
    </row>
    <row r="46" spans="1:8" s="1" customFormat="1" x14ac:dyDescent="0.25">
      <c r="A46" s="5"/>
      <c r="B46" s="921"/>
      <c r="C46" s="857"/>
      <c r="D46" s="83" t="s">
        <v>109</v>
      </c>
      <c r="E46" s="101">
        <v>111</v>
      </c>
      <c r="F46" s="37">
        <v>393000</v>
      </c>
      <c r="G46" s="4">
        <v>231</v>
      </c>
      <c r="H46" s="17">
        <v>1386000</v>
      </c>
    </row>
    <row r="47" spans="1:8" s="1" customFormat="1" x14ac:dyDescent="0.25">
      <c r="A47" s="5"/>
      <c r="B47" s="5"/>
      <c r="C47" s="857"/>
      <c r="D47" s="83" t="s">
        <v>110</v>
      </c>
      <c r="E47" s="101">
        <v>122</v>
      </c>
      <c r="F47" s="37">
        <v>428000</v>
      </c>
      <c r="G47" s="4">
        <v>267</v>
      </c>
      <c r="H47" s="17">
        <v>1602000</v>
      </c>
    </row>
    <row r="48" spans="1:8" s="1" customFormat="1" x14ac:dyDescent="0.25">
      <c r="A48" s="5"/>
      <c r="B48" s="5"/>
      <c r="C48" s="857"/>
      <c r="D48" s="83" t="s">
        <v>111</v>
      </c>
      <c r="E48" s="101">
        <v>187</v>
      </c>
      <c r="F48" s="37">
        <v>720000</v>
      </c>
      <c r="G48" s="4">
        <v>324</v>
      </c>
      <c r="H48" s="17">
        <v>1944000</v>
      </c>
    </row>
    <row r="49" spans="1:8" s="1" customFormat="1" x14ac:dyDescent="0.25">
      <c r="A49" s="5"/>
      <c r="B49" s="5"/>
      <c r="C49" s="857"/>
      <c r="D49" s="83" t="s">
        <v>112</v>
      </c>
      <c r="E49" s="101">
        <v>110</v>
      </c>
      <c r="F49" s="37">
        <v>454500</v>
      </c>
      <c r="G49" s="4">
        <v>276</v>
      </c>
      <c r="H49" s="17">
        <v>1656000</v>
      </c>
    </row>
    <row r="50" spans="1:8" s="8" customFormat="1" ht="8.25" customHeight="1" x14ac:dyDescent="0.25">
      <c r="A50" s="7"/>
      <c r="B50" s="7"/>
      <c r="C50" s="7"/>
      <c r="D50" s="7"/>
      <c r="E50" s="7"/>
      <c r="F50" s="93"/>
      <c r="G50" s="7"/>
      <c r="H50" s="7"/>
    </row>
    <row r="51" spans="1:8" s="9" customFormat="1" ht="15.75" customHeight="1" x14ac:dyDescent="0.25">
      <c r="A51" s="926" t="s">
        <v>17</v>
      </c>
      <c r="B51" s="923" t="s">
        <v>56</v>
      </c>
      <c r="C51" s="926" t="s">
        <v>18</v>
      </c>
      <c r="D51" s="70" t="s">
        <v>97</v>
      </c>
      <c r="E51" s="70">
        <f>SUM(E52:E57)</f>
        <v>38</v>
      </c>
      <c r="F51" s="84">
        <f>SUM(F52:F57)</f>
        <v>62687</v>
      </c>
      <c r="G51" s="70">
        <f>SUM(G52:G57)</f>
        <v>0</v>
      </c>
      <c r="H51" s="71">
        <f>SUM(H52:H57)</f>
        <v>0</v>
      </c>
    </row>
    <row r="52" spans="1:8" s="9" customFormat="1" ht="21.75" customHeight="1" x14ac:dyDescent="0.25">
      <c r="A52" s="927"/>
      <c r="B52" s="924"/>
      <c r="C52" s="927"/>
      <c r="D52" s="83" t="s">
        <v>107</v>
      </c>
      <c r="E52" s="30"/>
      <c r="F52" s="37"/>
      <c r="G52" s="4"/>
      <c r="H52" s="17"/>
    </row>
    <row r="53" spans="1:8" s="1" customFormat="1" x14ac:dyDescent="0.25">
      <c r="A53" s="5"/>
      <c r="B53" s="924"/>
      <c r="C53" s="5"/>
      <c r="D53" s="83" t="s">
        <v>108</v>
      </c>
      <c r="E53" s="30"/>
      <c r="F53" s="37"/>
      <c r="G53" s="4"/>
      <c r="H53" s="17"/>
    </row>
    <row r="54" spans="1:8" s="1" customFormat="1" x14ac:dyDescent="0.25">
      <c r="A54" s="5"/>
      <c r="B54" s="924"/>
      <c r="C54" s="5"/>
      <c r="D54" s="83" t="s">
        <v>109</v>
      </c>
      <c r="E54" s="30">
        <f>4+3+2</f>
        <v>9</v>
      </c>
      <c r="F54" s="37">
        <f>4000+3200+20000</f>
        <v>27200</v>
      </c>
      <c r="G54" s="4"/>
      <c r="H54" s="17"/>
    </row>
    <row r="55" spans="1:8" s="1" customFormat="1" x14ac:dyDescent="0.25">
      <c r="A55" s="5"/>
      <c r="B55" s="924"/>
      <c r="C55" s="5"/>
      <c r="D55" s="83" t="s">
        <v>110</v>
      </c>
      <c r="E55" s="30">
        <f>3+1</f>
        <v>4</v>
      </c>
      <c r="F55" s="37">
        <f>3000+1500</f>
        <v>4500</v>
      </c>
      <c r="G55" s="4"/>
      <c r="H55" s="17"/>
    </row>
    <row r="56" spans="1:8" s="1" customFormat="1" x14ac:dyDescent="0.25">
      <c r="A56" s="5"/>
      <c r="B56" s="924"/>
      <c r="C56" s="5"/>
      <c r="D56" s="83" t="s">
        <v>111</v>
      </c>
      <c r="E56" s="30">
        <f>2+4+6+2</f>
        <v>14</v>
      </c>
      <c r="F56" s="37">
        <f>2000+3637+4300+10100</f>
        <v>20037</v>
      </c>
      <c r="G56" s="4"/>
      <c r="H56" s="17"/>
    </row>
    <row r="57" spans="1:8" s="1" customFormat="1" x14ac:dyDescent="0.25">
      <c r="A57" s="5"/>
      <c r="B57" s="973"/>
      <c r="C57" s="5"/>
      <c r="D57" s="83" t="s">
        <v>112</v>
      </c>
      <c r="E57" s="30">
        <f>1+2+7+1</f>
        <v>11</v>
      </c>
      <c r="F57" s="37">
        <f>1000+2500+7200+250</f>
        <v>10950</v>
      </c>
      <c r="G57" s="4"/>
      <c r="H57" s="17"/>
    </row>
    <row r="58" spans="1:8" s="8" customFormat="1" ht="4.5" customHeight="1" x14ac:dyDescent="0.25">
      <c r="A58" s="7"/>
      <c r="B58" s="7"/>
      <c r="C58" s="7"/>
      <c r="D58" s="7"/>
      <c r="E58" s="7"/>
      <c r="F58" s="93"/>
      <c r="G58" s="7"/>
      <c r="H58" s="7"/>
    </row>
    <row r="59" spans="1:8" s="9" customFormat="1" ht="34.5" hidden="1" customHeight="1" x14ac:dyDescent="0.25">
      <c r="A59" s="6" t="s">
        <v>22</v>
      </c>
      <c r="B59" s="831" t="s">
        <v>57</v>
      </c>
      <c r="C59" s="6" t="s">
        <v>37</v>
      </c>
      <c r="D59" s="6"/>
      <c r="E59" s="42">
        <f>SUM(E60:E65)</f>
        <v>227</v>
      </c>
      <c r="F59" s="94">
        <f>SUM(F60:F65)</f>
        <v>562960</v>
      </c>
      <c r="G59" s="6"/>
      <c r="H59" s="6"/>
    </row>
    <row r="60" spans="1:8" s="1" customFormat="1" ht="15" hidden="1" customHeight="1" x14ac:dyDescent="0.25">
      <c r="A60" s="972" t="s">
        <v>35</v>
      </c>
      <c r="B60" s="832"/>
      <c r="C60" s="5"/>
      <c r="D60" s="4" t="s">
        <v>42</v>
      </c>
      <c r="E60" s="44"/>
      <c r="F60" s="41"/>
      <c r="G60" s="5"/>
      <c r="H60" s="4" t="s">
        <v>8</v>
      </c>
    </row>
    <row r="61" spans="1:8" s="1" customFormat="1" ht="15" hidden="1" customHeight="1" x14ac:dyDescent="0.25">
      <c r="A61" s="918"/>
      <c r="B61" s="833"/>
      <c r="C61" s="5"/>
      <c r="D61" s="4" t="s">
        <v>43</v>
      </c>
      <c r="E61" s="44"/>
      <c r="F61" s="38"/>
      <c r="G61" s="5"/>
      <c r="H61" s="4" t="s">
        <v>9</v>
      </c>
    </row>
    <row r="62" spans="1:8" s="1" customFormat="1" ht="15" hidden="1" customHeight="1" x14ac:dyDescent="0.25">
      <c r="A62" s="918"/>
      <c r="B62" s="201"/>
      <c r="C62" s="5"/>
      <c r="D62" s="4" t="s">
        <v>44</v>
      </c>
      <c r="E62" s="45">
        <v>227</v>
      </c>
      <c r="F62" s="39">
        <v>562960</v>
      </c>
      <c r="G62" s="5"/>
      <c r="H62" s="4" t="s">
        <v>10</v>
      </c>
    </row>
    <row r="63" spans="1:8" s="1" customFormat="1" ht="15" hidden="1" customHeight="1" x14ac:dyDescent="0.25">
      <c r="A63" s="918"/>
      <c r="B63" s="201"/>
      <c r="C63" s="5"/>
      <c r="D63" s="4" t="s">
        <v>45</v>
      </c>
      <c r="E63" s="44"/>
      <c r="F63" s="39"/>
      <c r="G63" s="5"/>
      <c r="H63" s="4" t="s">
        <v>11</v>
      </c>
    </row>
    <row r="64" spans="1:8" s="1" customFormat="1" ht="15" hidden="1" customHeight="1" x14ac:dyDescent="0.25">
      <c r="A64" s="918"/>
      <c r="B64" s="201"/>
      <c r="C64" s="5"/>
      <c r="D64" s="4" t="s">
        <v>46</v>
      </c>
      <c r="E64" s="44"/>
      <c r="F64" s="39"/>
      <c r="G64" s="5"/>
      <c r="H64" s="4" t="s">
        <v>12</v>
      </c>
    </row>
    <row r="65" spans="1:9" s="1" customFormat="1" ht="15" hidden="1" customHeight="1" x14ac:dyDescent="0.25">
      <c r="A65" s="918"/>
      <c r="B65" s="201"/>
      <c r="C65" s="5"/>
      <c r="D65" s="4" t="s">
        <v>47</v>
      </c>
      <c r="E65" s="44"/>
      <c r="F65" s="40"/>
      <c r="G65" s="5"/>
      <c r="H65" s="4" t="s">
        <v>13</v>
      </c>
    </row>
    <row r="66" spans="1:9" s="8" customFormat="1" ht="8.25" hidden="1" customHeight="1" x14ac:dyDescent="0.25">
      <c r="A66" s="7"/>
      <c r="B66" s="7"/>
      <c r="C66" s="7"/>
      <c r="D66" s="7"/>
      <c r="E66" s="7"/>
      <c r="F66" s="93"/>
      <c r="G66" s="7"/>
      <c r="H66" s="7"/>
    </row>
    <row r="67" spans="1:9" s="9" customFormat="1" ht="21" customHeight="1" x14ac:dyDescent="0.25">
      <c r="A67" s="926" t="s">
        <v>23</v>
      </c>
      <c r="B67" s="831" t="s">
        <v>58</v>
      </c>
      <c r="C67" s="926" t="s">
        <v>24</v>
      </c>
      <c r="D67" s="70" t="s">
        <v>97</v>
      </c>
      <c r="E67" s="70">
        <f>SUM(E68:E73)</f>
        <v>10700</v>
      </c>
      <c r="F67" s="84">
        <f>SUM(F68:F73)</f>
        <v>2680085.5</v>
      </c>
      <c r="G67" s="70">
        <f>SUM(G68:G73)</f>
        <v>0</v>
      </c>
      <c r="H67" s="71">
        <f>SUM(H68:H73)</f>
        <v>0</v>
      </c>
      <c r="I67" s="66"/>
    </row>
    <row r="68" spans="1:9" s="9" customFormat="1" ht="30" customHeight="1" x14ac:dyDescent="0.25">
      <c r="A68" s="927"/>
      <c r="B68" s="832"/>
      <c r="C68" s="927"/>
      <c r="D68" s="83" t="s">
        <v>107</v>
      </c>
      <c r="E68" s="30"/>
      <c r="F68" s="37"/>
      <c r="G68" s="4"/>
      <c r="H68" s="17"/>
      <c r="I68" s="66"/>
    </row>
    <row r="69" spans="1:9" s="9" customFormat="1" ht="18" customHeight="1" x14ac:dyDescent="0.25">
      <c r="A69" s="6"/>
      <c r="B69" s="832"/>
      <c r="C69" s="6"/>
      <c r="D69" s="83" t="s">
        <v>108</v>
      </c>
      <c r="E69" s="30"/>
      <c r="F69" s="37"/>
      <c r="G69" s="4"/>
      <c r="H69" s="17"/>
      <c r="I69" s="66"/>
    </row>
    <row r="70" spans="1:9" s="16" customFormat="1" x14ac:dyDescent="0.25">
      <c r="A70" s="15"/>
      <c r="B70" s="832"/>
      <c r="C70" s="15"/>
      <c r="D70" s="83" t="s">
        <v>109</v>
      </c>
      <c r="E70" s="30"/>
      <c r="F70" s="37"/>
      <c r="G70" s="4"/>
      <c r="H70" s="17"/>
    </row>
    <row r="71" spans="1:9" s="1" customFormat="1" x14ac:dyDescent="0.25">
      <c r="A71" s="5"/>
      <c r="B71" s="832"/>
      <c r="C71" s="5"/>
      <c r="D71" s="83" t="s">
        <v>110</v>
      </c>
      <c r="E71" s="30">
        <v>1000</v>
      </c>
      <c r="F71" s="37">
        <v>250000</v>
      </c>
      <c r="G71" s="4"/>
      <c r="H71" s="17"/>
    </row>
    <row r="72" spans="1:9" s="1" customFormat="1" x14ac:dyDescent="0.25">
      <c r="A72" s="5"/>
      <c r="B72" s="832"/>
      <c r="C72" s="5"/>
      <c r="D72" s="83" t="s">
        <v>111</v>
      </c>
      <c r="E72" s="30">
        <v>7100</v>
      </c>
      <c r="F72" s="37">
        <f>1780085.5</f>
        <v>1780085.5</v>
      </c>
      <c r="G72" s="4"/>
      <c r="H72" s="17"/>
    </row>
    <row r="73" spans="1:9" s="1" customFormat="1" x14ac:dyDescent="0.25">
      <c r="A73" s="5"/>
      <c r="B73" s="832"/>
      <c r="C73" s="5"/>
      <c r="D73" s="83" t="s">
        <v>112</v>
      </c>
      <c r="E73" s="30">
        <f>2600</f>
        <v>2600</v>
      </c>
      <c r="F73" s="37">
        <f>650000</f>
        <v>650000</v>
      </c>
      <c r="G73" s="4"/>
      <c r="H73" s="17"/>
    </row>
    <row r="74" spans="1:9" s="1" customFormat="1" x14ac:dyDescent="0.25">
      <c r="A74" s="5"/>
      <c r="B74" s="832"/>
      <c r="C74" s="5"/>
      <c r="D74" s="108" t="s">
        <v>211</v>
      </c>
      <c r="E74" s="79">
        <v>1000</v>
      </c>
      <c r="F74" s="81">
        <v>250000</v>
      </c>
      <c r="G74" s="210"/>
      <c r="H74" s="82"/>
    </row>
    <row r="75" spans="1:9" s="9" customFormat="1" ht="30" hidden="1" customHeight="1" x14ac:dyDescent="0.25">
      <c r="A75" s="200" t="s">
        <v>63</v>
      </c>
      <c r="B75" s="831" t="s">
        <v>64</v>
      </c>
      <c r="C75" s="199" t="s">
        <v>65</v>
      </c>
      <c r="D75" s="132" t="s">
        <v>81</v>
      </c>
      <c r="E75" s="147">
        <f>SUM(E78:E82)</f>
        <v>0</v>
      </c>
      <c r="F75" s="137">
        <f>SUM(F78:F82)</f>
        <v>0</v>
      </c>
      <c r="G75" s="207" t="e">
        <f>G76+#REF!</f>
        <v>#REF!</v>
      </c>
      <c r="H75" s="69" t="e">
        <f>H76+#REF!</f>
        <v>#REF!</v>
      </c>
    </row>
    <row r="76" spans="1:9" s="9" customFormat="1" ht="30" hidden="1" customHeight="1" x14ac:dyDescent="0.25">
      <c r="A76" s="198"/>
      <c r="B76" s="879"/>
      <c r="C76" s="6"/>
      <c r="D76" s="70" t="s">
        <v>79</v>
      </c>
      <c r="E76" s="64"/>
      <c r="F76" s="95"/>
      <c r="G76" s="63">
        <f>SUM(G77:G82)</f>
        <v>24</v>
      </c>
      <c r="H76" s="78">
        <f>SUM(H77:H82)</f>
        <v>800000</v>
      </c>
    </row>
    <row r="77" spans="1:9" s="16" customFormat="1" ht="15" hidden="1" customHeight="1" x14ac:dyDescent="0.25">
      <c r="A77" s="869"/>
      <c r="B77" s="879"/>
      <c r="C77" s="15"/>
      <c r="D77" s="83" t="s">
        <v>91</v>
      </c>
      <c r="E77" s="44"/>
      <c r="F77" s="41"/>
      <c r="G77" s="15"/>
      <c r="H77" s="53"/>
    </row>
    <row r="78" spans="1:9" s="1" customFormat="1" ht="15" hidden="1" customHeight="1" x14ac:dyDescent="0.25">
      <c r="A78" s="870"/>
      <c r="B78" s="879"/>
      <c r="C78" s="5"/>
      <c r="D78" s="83" t="s">
        <v>92</v>
      </c>
      <c r="E78" s="44"/>
      <c r="F78" s="38"/>
      <c r="G78" s="20"/>
      <c r="H78" s="17"/>
    </row>
    <row r="79" spans="1:9" s="1" customFormat="1" ht="15" hidden="1" customHeight="1" x14ac:dyDescent="0.25">
      <c r="A79" s="55"/>
      <c r="B79" s="879"/>
      <c r="C79" s="5"/>
      <c r="D79" s="83" t="s">
        <v>93</v>
      </c>
      <c r="E79" s="44"/>
      <c r="F79" s="39"/>
      <c r="G79" s="20">
        <v>4</v>
      </c>
      <c r="H79" s="17">
        <v>40000</v>
      </c>
    </row>
    <row r="80" spans="1:9" s="1" customFormat="1" ht="15" hidden="1" customHeight="1" x14ac:dyDescent="0.25">
      <c r="A80" s="55"/>
      <c r="B80" s="879"/>
      <c r="C80" s="5"/>
      <c r="D80" s="83" t="s">
        <v>94</v>
      </c>
      <c r="E80" s="44"/>
      <c r="F80" s="39"/>
      <c r="G80" s="20">
        <v>14</v>
      </c>
      <c r="H80" s="17">
        <f>700000</f>
        <v>700000</v>
      </c>
    </row>
    <row r="81" spans="1:8" s="1" customFormat="1" ht="15" hidden="1" customHeight="1" x14ac:dyDescent="0.25">
      <c r="A81" s="55"/>
      <c r="B81" s="879"/>
      <c r="C81" s="5"/>
      <c r="D81" s="83" t="s">
        <v>95</v>
      </c>
      <c r="E81" s="44"/>
      <c r="F81" s="39"/>
      <c r="G81" s="20"/>
      <c r="H81" s="17"/>
    </row>
    <row r="82" spans="1:8" s="1" customFormat="1" ht="15" hidden="1" customHeight="1" x14ac:dyDescent="0.25">
      <c r="A82" s="56"/>
      <c r="B82" s="966"/>
      <c r="C82" s="5"/>
      <c r="D82" s="83" t="s">
        <v>96</v>
      </c>
      <c r="E82" s="44"/>
      <c r="F82" s="62"/>
      <c r="G82" s="20">
        <v>6</v>
      </c>
      <c r="H82" s="17">
        <v>60000</v>
      </c>
    </row>
    <row r="83" spans="1:8" s="2" customFormat="1" ht="24" hidden="1" customHeight="1" x14ac:dyDescent="0.25">
      <c r="A83" s="201"/>
      <c r="B83" s="202"/>
      <c r="C83" s="63"/>
      <c r="D83" s="70" t="s">
        <v>80</v>
      </c>
      <c r="E83" s="70">
        <f>SUM(E84:E90)</f>
        <v>0</v>
      </c>
      <c r="F83" s="84">
        <f>SUM(F84:F90)</f>
        <v>0</v>
      </c>
      <c r="G83" s="70">
        <f>SUM(G84:G90)</f>
        <v>0</v>
      </c>
      <c r="H83" s="71">
        <f>SUM(H84:H90)</f>
        <v>0</v>
      </c>
    </row>
    <row r="84" spans="1:8" s="2" customFormat="1" ht="14.25" hidden="1" customHeight="1" x14ac:dyDescent="0.25">
      <c r="A84" s="201"/>
      <c r="B84" s="202"/>
      <c r="C84" s="4"/>
      <c r="D84" s="83" t="s">
        <v>100</v>
      </c>
      <c r="E84" s="30"/>
      <c r="F84" s="37"/>
      <c r="G84" s="4"/>
      <c r="H84" s="17"/>
    </row>
    <row r="85" spans="1:8" s="2" customFormat="1" ht="14.25" hidden="1" customHeight="1" x14ac:dyDescent="0.25">
      <c r="A85" s="201"/>
      <c r="B85" s="202"/>
      <c r="C85" s="4"/>
      <c r="D85" s="83" t="s">
        <v>101</v>
      </c>
      <c r="E85" s="30"/>
      <c r="F85" s="37"/>
      <c r="G85" s="4"/>
      <c r="H85" s="17"/>
    </row>
    <row r="86" spans="1:8" s="2" customFormat="1" ht="14.25" hidden="1" customHeight="1" x14ac:dyDescent="0.25">
      <c r="A86" s="201"/>
      <c r="B86" s="202"/>
      <c r="C86" s="4"/>
      <c r="D86" s="83" t="s">
        <v>102</v>
      </c>
      <c r="E86" s="30"/>
      <c r="F86" s="37"/>
      <c r="G86" s="4"/>
      <c r="H86" s="17"/>
    </row>
    <row r="87" spans="1:8" s="2" customFormat="1" ht="14.25" hidden="1" customHeight="1" x14ac:dyDescent="0.25">
      <c r="A87" s="201"/>
      <c r="B87" s="202"/>
      <c r="C87" s="4"/>
      <c r="D87" s="83" t="s">
        <v>103</v>
      </c>
      <c r="E87" s="30"/>
      <c r="F87" s="37"/>
      <c r="G87" s="4"/>
      <c r="H87" s="17"/>
    </row>
    <row r="88" spans="1:8" s="2" customFormat="1" ht="14.25" hidden="1" customHeight="1" x14ac:dyDescent="0.25">
      <c r="A88" s="201"/>
      <c r="B88" s="202"/>
      <c r="C88" s="4"/>
      <c r="D88" s="83" t="s">
        <v>104</v>
      </c>
      <c r="E88" s="30"/>
      <c r="F88" s="37"/>
      <c r="G88" s="4"/>
      <c r="H88" s="17"/>
    </row>
    <row r="89" spans="1:8" s="2" customFormat="1" ht="14.25" hidden="1" customHeight="1" x14ac:dyDescent="0.25">
      <c r="A89" s="201"/>
      <c r="B89" s="202"/>
      <c r="C89" s="4"/>
      <c r="D89" s="83" t="s">
        <v>105</v>
      </c>
      <c r="E89" s="30"/>
      <c r="F89" s="37"/>
      <c r="G89" s="4"/>
      <c r="H89" s="17"/>
    </row>
    <row r="90" spans="1:8" s="2" customFormat="1" ht="14.25" hidden="1" customHeight="1" x14ac:dyDescent="0.25">
      <c r="A90" s="201"/>
      <c r="B90" s="202"/>
      <c r="C90" s="4"/>
      <c r="D90" s="83" t="s">
        <v>106</v>
      </c>
      <c r="E90" s="30"/>
      <c r="F90" s="37"/>
      <c r="G90" s="4"/>
      <c r="H90" s="17"/>
    </row>
    <row r="91" spans="1:8" s="2" customFormat="1" ht="24" hidden="1" customHeight="1" x14ac:dyDescent="0.25">
      <c r="A91" s="201"/>
      <c r="B91" s="202"/>
      <c r="C91" s="63"/>
      <c r="D91" s="70" t="s">
        <v>97</v>
      </c>
      <c r="E91" s="70">
        <f>SUM(E92:E97)</f>
        <v>0</v>
      </c>
      <c r="F91" s="84">
        <f>SUM(F92:F97)</f>
        <v>0</v>
      </c>
      <c r="G91" s="70">
        <f>SUM(G92:G97)</f>
        <v>0</v>
      </c>
      <c r="H91" s="71">
        <f>SUM(H92:H97)</f>
        <v>0</v>
      </c>
    </row>
    <row r="92" spans="1:8" s="2" customFormat="1" ht="14.25" hidden="1" customHeight="1" x14ac:dyDescent="0.25">
      <c r="A92" s="201"/>
      <c r="B92" s="202"/>
      <c r="C92" s="4"/>
      <c r="D92" s="83" t="s">
        <v>107</v>
      </c>
      <c r="E92" s="30"/>
      <c r="F92" s="37"/>
      <c r="G92" s="4"/>
      <c r="H92" s="17"/>
    </row>
    <row r="93" spans="1:8" s="2" customFormat="1" ht="14.25" hidden="1" customHeight="1" x14ac:dyDescent="0.25">
      <c r="A93" s="201"/>
      <c r="B93" s="202"/>
      <c r="C93" s="4"/>
      <c r="D93" s="83" t="s">
        <v>108</v>
      </c>
      <c r="E93" s="30"/>
      <c r="F93" s="37"/>
      <c r="G93" s="4"/>
      <c r="H93" s="17"/>
    </row>
    <row r="94" spans="1:8" s="2" customFormat="1" ht="14.25" hidden="1" customHeight="1" x14ac:dyDescent="0.25">
      <c r="A94" s="201"/>
      <c r="B94" s="202"/>
      <c r="C94" s="4"/>
      <c r="D94" s="83" t="s">
        <v>109</v>
      </c>
      <c r="E94" s="30"/>
      <c r="F94" s="37"/>
      <c r="G94" s="4"/>
      <c r="H94" s="17"/>
    </row>
    <row r="95" spans="1:8" s="2" customFormat="1" ht="14.25" hidden="1" customHeight="1" x14ac:dyDescent="0.25">
      <c r="A95" s="201"/>
      <c r="B95" s="202"/>
      <c r="C95" s="4"/>
      <c r="D95" s="83" t="s">
        <v>110</v>
      </c>
      <c r="E95" s="30"/>
      <c r="F95" s="37"/>
      <c r="G95" s="4"/>
      <c r="H95" s="17"/>
    </row>
    <row r="96" spans="1:8" s="2" customFormat="1" ht="14.25" hidden="1" customHeight="1" x14ac:dyDescent="0.25">
      <c r="A96" s="201"/>
      <c r="B96" s="202"/>
      <c r="C96" s="4"/>
      <c r="D96" s="83" t="s">
        <v>111</v>
      </c>
      <c r="E96" s="30"/>
      <c r="F96" s="37"/>
      <c r="G96" s="4"/>
      <c r="H96" s="17"/>
    </row>
    <row r="97" spans="1:8" s="2" customFormat="1" ht="14.25" hidden="1" customHeight="1" x14ac:dyDescent="0.25">
      <c r="A97" s="201"/>
      <c r="B97" s="202"/>
      <c r="C97" s="4"/>
      <c r="D97" s="83" t="s">
        <v>112</v>
      </c>
      <c r="E97" s="30"/>
      <c r="F97" s="37"/>
      <c r="G97" s="4"/>
      <c r="H97" s="17"/>
    </row>
    <row r="98" spans="1:8" s="2" customFormat="1" ht="24" hidden="1" customHeight="1" x14ac:dyDescent="0.25">
      <c r="A98" s="201"/>
      <c r="B98" s="202"/>
      <c r="C98" s="63"/>
      <c r="D98" s="70" t="s">
        <v>98</v>
      </c>
      <c r="E98" s="70">
        <f>SUM(E99:E102)</f>
        <v>0</v>
      </c>
      <c r="F98" s="84">
        <f>SUM(F99:F102)</f>
        <v>0</v>
      </c>
      <c r="G98" s="70">
        <f>SUM(G99:G102)</f>
        <v>0</v>
      </c>
      <c r="H98" s="71">
        <f>SUM(H99:H102)</f>
        <v>0</v>
      </c>
    </row>
    <row r="99" spans="1:8" s="2" customFormat="1" ht="14.25" hidden="1" customHeight="1" x14ac:dyDescent="0.25">
      <c r="A99" s="201"/>
      <c r="B99" s="202"/>
      <c r="C99" s="4"/>
      <c r="D99" s="83" t="s">
        <v>113</v>
      </c>
      <c r="E99" s="30"/>
      <c r="F99" s="37"/>
      <c r="G99" s="4"/>
      <c r="H99" s="17"/>
    </row>
    <row r="100" spans="1:8" s="2" customFormat="1" ht="14.25" hidden="1" customHeight="1" x14ac:dyDescent="0.25">
      <c r="A100" s="201"/>
      <c r="B100" s="202"/>
      <c r="C100" s="4"/>
      <c r="D100" s="83" t="s">
        <v>114</v>
      </c>
      <c r="E100" s="30"/>
      <c r="F100" s="37"/>
      <c r="G100" s="4"/>
      <c r="H100" s="17"/>
    </row>
    <row r="101" spans="1:8" s="2" customFormat="1" ht="14.25" hidden="1" customHeight="1" x14ac:dyDescent="0.25">
      <c r="A101" s="201"/>
      <c r="B101" s="202"/>
      <c r="C101" s="4"/>
      <c r="D101" s="83" t="s">
        <v>115</v>
      </c>
      <c r="E101" s="30"/>
      <c r="F101" s="37"/>
      <c r="G101" s="4"/>
      <c r="H101" s="17"/>
    </row>
    <row r="102" spans="1:8" s="2" customFormat="1" ht="14.25" hidden="1" customHeight="1" x14ac:dyDescent="0.25">
      <c r="A102" s="201"/>
      <c r="B102" s="202"/>
      <c r="C102" s="4"/>
      <c r="D102" s="83" t="s">
        <v>116</v>
      </c>
      <c r="E102" s="30"/>
      <c r="F102" s="37"/>
      <c r="G102" s="4"/>
      <c r="H102" s="17"/>
    </row>
    <row r="103" spans="1:8" s="2" customFormat="1" ht="24" hidden="1" customHeight="1" x14ac:dyDescent="0.25">
      <c r="A103" s="201"/>
      <c r="B103" s="202"/>
      <c r="C103" s="63"/>
      <c r="D103" s="70" t="s">
        <v>99</v>
      </c>
      <c r="E103" s="70">
        <f>SUM(E104)</f>
        <v>0</v>
      </c>
      <c r="F103" s="84">
        <f>SUM(F104)</f>
        <v>0</v>
      </c>
      <c r="G103" s="70">
        <f>SUM(G104)</f>
        <v>0</v>
      </c>
      <c r="H103" s="84">
        <f>SUM(H104)</f>
        <v>0</v>
      </c>
    </row>
    <row r="104" spans="1:8" s="2" customFormat="1" ht="14.25" hidden="1" customHeight="1" x14ac:dyDescent="0.25">
      <c r="A104" s="201"/>
      <c r="B104" s="202"/>
      <c r="C104" s="4"/>
      <c r="D104" s="83" t="s">
        <v>117</v>
      </c>
      <c r="E104" s="30"/>
      <c r="F104" s="37"/>
      <c r="G104" s="4"/>
      <c r="H104" s="17"/>
    </row>
    <row r="105" spans="1:8" s="8" customFormat="1" ht="8.25" hidden="1" customHeight="1" x14ac:dyDescent="0.25">
      <c r="A105" s="60"/>
      <c r="B105" s="60"/>
      <c r="C105" s="60"/>
      <c r="D105" s="60"/>
      <c r="E105" s="60"/>
      <c r="F105" s="96"/>
      <c r="G105" s="60"/>
      <c r="H105" s="60"/>
    </row>
    <row r="106" spans="1:8" s="8" customFormat="1" ht="4.5" customHeight="1" x14ac:dyDescent="0.25">
      <c r="A106" s="7"/>
      <c r="B106" s="7"/>
      <c r="C106" s="7"/>
      <c r="D106" s="7"/>
      <c r="E106" s="7"/>
      <c r="F106" s="93"/>
      <c r="G106" s="7"/>
      <c r="H106" s="7"/>
    </row>
    <row r="107" spans="1:8" s="9" customFormat="1" ht="23.25" customHeight="1" x14ac:dyDescent="0.25">
      <c r="A107" s="198" t="s">
        <v>67</v>
      </c>
      <c r="B107" s="831" t="s">
        <v>68</v>
      </c>
      <c r="C107" s="926" t="s">
        <v>65</v>
      </c>
      <c r="D107" s="70" t="s">
        <v>97</v>
      </c>
      <c r="E107" s="70">
        <f>SUM(E108:E113)</f>
        <v>2500</v>
      </c>
      <c r="F107" s="84">
        <f>SUM(F108:F113)</f>
        <v>625000</v>
      </c>
      <c r="G107" s="70">
        <f>SUM(G108:G113)</f>
        <v>0</v>
      </c>
      <c r="H107" s="71">
        <f>SUM(H108:H113)</f>
        <v>0</v>
      </c>
    </row>
    <row r="108" spans="1:8" s="9" customFormat="1" ht="18.75" customHeight="1" x14ac:dyDescent="0.25">
      <c r="A108" s="198"/>
      <c r="B108" s="879"/>
      <c r="C108" s="927"/>
      <c r="D108" s="83" t="s">
        <v>107</v>
      </c>
      <c r="E108" s="30"/>
      <c r="F108" s="37"/>
      <c r="G108" s="4"/>
      <c r="H108" s="17"/>
    </row>
    <row r="109" spans="1:8" s="16" customFormat="1" ht="15" customHeight="1" x14ac:dyDescent="0.25">
      <c r="A109" s="869"/>
      <c r="B109" s="879"/>
      <c r="C109" s="15"/>
      <c r="D109" s="83" t="s">
        <v>108</v>
      </c>
      <c r="E109" s="30"/>
      <c r="F109" s="37"/>
      <c r="G109" s="4"/>
      <c r="H109" s="17"/>
    </row>
    <row r="110" spans="1:8" s="1" customFormat="1" x14ac:dyDescent="0.25">
      <c r="A110" s="870"/>
      <c r="B110" s="879"/>
      <c r="C110" s="5"/>
      <c r="D110" s="83" t="s">
        <v>109</v>
      </c>
      <c r="E110" s="30"/>
      <c r="F110" s="37"/>
      <c r="G110" s="4"/>
      <c r="H110" s="17"/>
    </row>
    <row r="111" spans="1:8" s="1" customFormat="1" x14ac:dyDescent="0.25">
      <c r="A111" s="55"/>
      <c r="B111" s="879"/>
      <c r="C111" s="5"/>
      <c r="D111" s="83" t="s">
        <v>110</v>
      </c>
      <c r="E111" s="30"/>
      <c r="F111" s="37"/>
      <c r="G111" s="4"/>
      <c r="H111" s="17"/>
    </row>
    <row r="112" spans="1:8" s="1" customFormat="1" x14ac:dyDescent="0.25">
      <c r="A112" s="55"/>
      <c r="B112" s="879"/>
      <c r="C112" s="5"/>
      <c r="D112" s="83" t="s">
        <v>111</v>
      </c>
      <c r="E112" s="30"/>
      <c r="F112" s="37"/>
      <c r="G112" s="4"/>
      <c r="H112" s="17"/>
    </row>
    <row r="113" spans="1:8" s="1" customFormat="1" x14ac:dyDescent="0.25">
      <c r="A113" s="55"/>
      <c r="B113" s="879"/>
      <c r="C113" s="5"/>
      <c r="D113" s="83" t="s">
        <v>112</v>
      </c>
      <c r="E113" s="30">
        <f>2500</f>
        <v>2500</v>
      </c>
      <c r="F113" s="37">
        <f>625000</f>
        <v>625000</v>
      </c>
      <c r="G113" s="4"/>
      <c r="H113" s="17"/>
    </row>
    <row r="114" spans="1:8" s="8" customFormat="1" ht="4.5" customHeight="1" x14ac:dyDescent="0.25">
      <c r="A114" s="122"/>
      <c r="B114" s="122"/>
      <c r="C114" s="122"/>
      <c r="D114" s="122"/>
      <c r="E114" s="122"/>
      <c r="F114" s="173"/>
      <c r="G114" s="122"/>
      <c r="H114" s="122"/>
    </row>
    <row r="115" spans="1:8" s="123" customFormat="1" ht="4.5" customHeight="1" x14ac:dyDescent="0.25">
      <c r="F115" s="174"/>
    </row>
    <row r="116" spans="1:8" s="123" customFormat="1" ht="4.5" customHeight="1" x14ac:dyDescent="0.25">
      <c r="F116" s="174"/>
    </row>
    <row r="117" spans="1:8" s="123" customFormat="1" ht="4.5" customHeight="1" x14ac:dyDescent="0.25">
      <c r="F117" s="174"/>
    </row>
    <row r="118" spans="1:8" s="123" customFormat="1" ht="4.5" customHeight="1" x14ac:dyDescent="0.25">
      <c r="F118" s="174"/>
    </row>
    <row r="119" spans="1:8" s="123" customFormat="1" ht="4.5" customHeight="1" x14ac:dyDescent="0.25">
      <c r="F119" s="174"/>
    </row>
    <row r="120" spans="1:8" s="123" customFormat="1" ht="4.5" customHeight="1" x14ac:dyDescent="0.25">
      <c r="F120" s="174"/>
    </row>
    <row r="121" spans="1:8" s="123" customFormat="1" ht="4.5" customHeight="1" x14ac:dyDescent="0.25">
      <c r="F121" s="174"/>
    </row>
    <row r="122" spans="1:8" s="123" customFormat="1" ht="4.5" customHeight="1" x14ac:dyDescent="0.25">
      <c r="F122" s="174"/>
    </row>
    <row r="123" spans="1:8" s="123" customFormat="1" ht="4.5" customHeight="1" x14ac:dyDescent="0.25">
      <c r="F123" s="174"/>
    </row>
    <row r="124" spans="1:8" s="123" customFormat="1" ht="4.5" customHeight="1" x14ac:dyDescent="0.25">
      <c r="F124" s="174"/>
    </row>
    <row r="125" spans="1:8" s="123" customFormat="1" ht="4.5" customHeight="1" x14ac:dyDescent="0.25">
      <c r="F125" s="174"/>
    </row>
    <row r="126" spans="1:8" s="123" customFormat="1" ht="4.5" customHeight="1" x14ac:dyDescent="0.25">
      <c r="F126" s="174"/>
    </row>
    <row r="127" spans="1:8" s="123" customFormat="1" ht="4.5" customHeight="1" x14ac:dyDescent="0.25">
      <c r="F127" s="174"/>
    </row>
    <row r="128" spans="1:8" s="123" customFormat="1" ht="4.5" customHeight="1" x14ac:dyDescent="0.25">
      <c r="F128" s="174"/>
    </row>
    <row r="129" spans="1:8" s="123" customFormat="1" ht="4.5" customHeight="1" x14ac:dyDescent="0.25">
      <c r="F129" s="174"/>
    </row>
    <row r="130" spans="1:8" s="123" customFormat="1" ht="4.5" customHeight="1" x14ac:dyDescent="0.25">
      <c r="F130" s="174"/>
    </row>
    <row r="131" spans="1:8" s="123" customFormat="1" ht="4.5" customHeight="1" x14ac:dyDescent="0.25">
      <c r="F131" s="174"/>
    </row>
    <row r="132" spans="1:8" s="123" customFormat="1" ht="4.5" customHeight="1" x14ac:dyDescent="0.25">
      <c r="F132" s="174"/>
    </row>
    <row r="133" spans="1:8" s="123" customFormat="1" ht="4.5" customHeight="1" x14ac:dyDescent="0.25">
      <c r="F133" s="174"/>
    </row>
    <row r="134" spans="1:8" s="123" customFormat="1" ht="4.5" customHeight="1" x14ac:dyDescent="0.25">
      <c r="F134" s="174"/>
    </row>
    <row r="135" spans="1:8" s="52" customFormat="1" ht="20.25" customHeight="1" x14ac:dyDescent="0.25">
      <c r="A135" s="926" t="s">
        <v>201</v>
      </c>
      <c r="B135" s="831" t="s">
        <v>202</v>
      </c>
      <c r="C135" s="926" t="s">
        <v>65</v>
      </c>
      <c r="D135" s="224" t="s">
        <v>97</v>
      </c>
      <c r="E135" s="224">
        <f>SUM(E136:E141)</f>
        <v>4</v>
      </c>
      <c r="F135" s="231">
        <f>SUM(F136:F141)</f>
        <v>10500</v>
      </c>
      <c r="G135" s="224">
        <f>SUM(G136:G141)</f>
        <v>0</v>
      </c>
      <c r="H135" s="232">
        <f>SUM(H136:H141)</f>
        <v>0</v>
      </c>
    </row>
    <row r="136" spans="1:8" s="9" customFormat="1" ht="19.5" customHeight="1" x14ac:dyDescent="0.25">
      <c r="A136" s="927"/>
      <c r="B136" s="832"/>
      <c r="C136" s="927"/>
      <c r="D136" s="83" t="s">
        <v>107</v>
      </c>
      <c r="E136" s="30"/>
      <c r="F136" s="37"/>
      <c r="G136" s="4"/>
      <c r="H136" s="17"/>
    </row>
    <row r="137" spans="1:8" s="16" customFormat="1" ht="15" customHeight="1" x14ac:dyDescent="0.25">
      <c r="A137" s="15"/>
      <c r="B137" s="832"/>
      <c r="C137" s="15"/>
      <c r="D137" s="83" t="s">
        <v>108</v>
      </c>
      <c r="E137" s="30"/>
      <c r="F137" s="37"/>
      <c r="G137" s="4"/>
      <c r="H137" s="17"/>
    </row>
    <row r="138" spans="1:8" s="1" customFormat="1" x14ac:dyDescent="0.25">
      <c r="A138" s="5"/>
      <c r="B138" s="832"/>
      <c r="C138" s="5"/>
      <c r="D138" s="83" t="s">
        <v>109</v>
      </c>
      <c r="E138" s="30"/>
      <c r="F138" s="37"/>
      <c r="G138" s="4"/>
      <c r="H138" s="17"/>
    </row>
    <row r="139" spans="1:8" s="1" customFormat="1" x14ac:dyDescent="0.25">
      <c r="A139" s="5"/>
      <c r="B139" s="832"/>
      <c r="C139" s="5"/>
      <c r="D139" s="83" t="s">
        <v>110</v>
      </c>
      <c r="E139" s="30">
        <f>4</f>
        <v>4</v>
      </c>
      <c r="F139" s="37">
        <f>10500</f>
        <v>10500</v>
      </c>
      <c r="G139" s="4"/>
      <c r="H139" s="17"/>
    </row>
    <row r="140" spans="1:8" s="1" customFormat="1" x14ac:dyDescent="0.25">
      <c r="A140" s="5"/>
      <c r="B140" s="832"/>
      <c r="C140" s="5"/>
      <c r="D140" s="83" t="s">
        <v>111</v>
      </c>
      <c r="E140" s="30"/>
      <c r="F140" s="37"/>
      <c r="G140" s="4"/>
      <c r="H140" s="17"/>
    </row>
    <row r="141" spans="1:8" s="1" customFormat="1" x14ac:dyDescent="0.25">
      <c r="A141" s="5"/>
      <c r="B141" s="833"/>
      <c r="C141" s="5"/>
      <c r="D141" s="83" t="s">
        <v>112</v>
      </c>
      <c r="E141" s="30"/>
      <c r="F141" s="37"/>
      <c r="G141" s="4"/>
      <c r="H141" s="17"/>
    </row>
    <row r="142" spans="1:8" x14ac:dyDescent="0.25">
      <c r="A142" t="s">
        <v>26</v>
      </c>
      <c r="B142" t="s">
        <v>28</v>
      </c>
      <c r="D142" t="s">
        <v>31</v>
      </c>
      <c r="F142"/>
    </row>
    <row r="143" spans="1:8" x14ac:dyDescent="0.25">
      <c r="F143"/>
    </row>
    <row r="144" spans="1:8" x14ac:dyDescent="0.25">
      <c r="F144"/>
    </row>
    <row r="145" spans="1:6" x14ac:dyDescent="0.25">
      <c r="F145"/>
    </row>
    <row r="146" spans="1:6" x14ac:dyDescent="0.25">
      <c r="A146" t="s">
        <v>27</v>
      </c>
      <c r="B146" t="s">
        <v>29</v>
      </c>
      <c r="D146" t="s">
        <v>32</v>
      </c>
      <c r="F146"/>
    </row>
    <row r="147" spans="1:6" x14ac:dyDescent="0.25">
      <c r="A147" t="s">
        <v>223</v>
      </c>
      <c r="B147" t="s">
        <v>30</v>
      </c>
      <c r="D147" t="s">
        <v>33</v>
      </c>
      <c r="F147"/>
    </row>
  </sheetData>
  <mergeCells count="42">
    <mergeCell ref="A1:H1"/>
    <mergeCell ref="A2:H2"/>
    <mergeCell ref="A4:H4"/>
    <mergeCell ref="A5:H5"/>
    <mergeCell ref="A7:A8"/>
    <mergeCell ref="B7:B8"/>
    <mergeCell ref="C7:C8"/>
    <mergeCell ref="D7:D8"/>
    <mergeCell ref="E7:E8"/>
    <mergeCell ref="F7:F8"/>
    <mergeCell ref="G7:H7"/>
    <mergeCell ref="C11:C12"/>
    <mergeCell ref="A14:A17"/>
    <mergeCell ref="A27:A28"/>
    <mergeCell ref="B27:B33"/>
    <mergeCell ref="C27:C28"/>
    <mergeCell ref="A19:A20"/>
    <mergeCell ref="B19:B25"/>
    <mergeCell ref="C19:C20"/>
    <mergeCell ref="A11:A12"/>
    <mergeCell ref="B11:B17"/>
    <mergeCell ref="A35:A36"/>
    <mergeCell ref="B35:B38"/>
    <mergeCell ref="C35:C41"/>
    <mergeCell ref="B75:B82"/>
    <mergeCell ref="A77:A78"/>
    <mergeCell ref="B43:B46"/>
    <mergeCell ref="C43:C49"/>
    <mergeCell ref="A51:A52"/>
    <mergeCell ref="B51:B57"/>
    <mergeCell ref="C51:C52"/>
    <mergeCell ref="B59:B61"/>
    <mergeCell ref="A60:A65"/>
    <mergeCell ref="A67:A68"/>
    <mergeCell ref="B67:B74"/>
    <mergeCell ref="C67:C68"/>
    <mergeCell ref="B107:B113"/>
    <mergeCell ref="C107:C108"/>
    <mergeCell ref="A109:A110"/>
    <mergeCell ref="A135:A136"/>
    <mergeCell ref="B135:B141"/>
    <mergeCell ref="C135:C136"/>
  </mergeCells>
  <printOptions horizontalCentered="1"/>
  <pageMargins left="0.52" right="0.67" top="0.68" bottom="0.69" header="0.3" footer="0.4"/>
  <pageSetup paperSize="9" scale="80" orientation="landscape" verticalDpi="300" r:id="rId1"/>
  <headerFooter>
    <oddFooter>&amp;L3rd District of Bulacan
&amp;CPage &amp;P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6" sqref="A6:F12"/>
    </sheetView>
  </sheetViews>
  <sheetFormatPr defaultRowHeight="15" x14ac:dyDescent="0.25"/>
  <cols>
    <col min="1" max="1" width="30.85546875" customWidth="1"/>
    <col min="2" max="2" width="42" customWidth="1"/>
    <col min="3" max="3" width="16.7109375"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16"/>
      <c r="B3" s="216"/>
      <c r="C3" s="216"/>
      <c r="D3" s="216"/>
      <c r="E3" s="216"/>
    </row>
    <row r="4" spans="1:5" s="47" customFormat="1" ht="15.75" x14ac:dyDescent="0.25">
      <c r="A4" s="844" t="s">
        <v>259</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97</v>
      </c>
      <c r="D8" s="224">
        <f>SUM(D9:D9)</f>
        <v>6</v>
      </c>
      <c r="E8" s="84">
        <f>SUM(E9:E9)</f>
        <v>3102500</v>
      </c>
    </row>
    <row r="9" spans="1:5" s="2" customFormat="1" ht="71.25" customHeight="1" x14ac:dyDescent="0.25">
      <c r="A9" s="873"/>
      <c r="B9" s="1065"/>
      <c r="C9" s="196" t="s">
        <v>109</v>
      </c>
      <c r="D9" s="233">
        <v>6</v>
      </c>
      <c r="E9" s="234">
        <v>3102500</v>
      </c>
    </row>
    <row r="10" spans="1:5" ht="21" customHeight="1" x14ac:dyDescent="0.3">
      <c r="A10" s="52"/>
      <c r="B10" s="258"/>
      <c r="C10" s="115"/>
      <c r="D10" s="251"/>
      <c r="E10" s="252"/>
    </row>
    <row r="11" spans="1:5" ht="15" customHeight="1" x14ac:dyDescent="0.25">
      <c r="A11" s="52"/>
      <c r="B11" s="258"/>
      <c r="C11" s="115"/>
      <c r="D11" s="251"/>
      <c r="E11" s="252"/>
    </row>
    <row r="12" spans="1:5" x14ac:dyDescent="0.25">
      <c r="A12" t="s">
        <v>27</v>
      </c>
      <c r="B12" t="s">
        <v>29</v>
      </c>
      <c r="D12" t="s">
        <v>32</v>
      </c>
    </row>
    <row r="13" spans="1:5" x14ac:dyDescent="0.25">
      <c r="A13" t="s">
        <v>223</v>
      </c>
      <c r="B13" t="s">
        <v>30</v>
      </c>
      <c r="D13" t="s">
        <v>33</v>
      </c>
    </row>
  </sheetData>
  <mergeCells count="10">
    <mergeCell ref="A8:A9"/>
    <mergeCell ref="B8:B9"/>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topLeftCell="A27" workbookViewId="0">
      <selection activeCell="A6" sqref="A6:F12"/>
    </sheetView>
  </sheetViews>
  <sheetFormatPr defaultRowHeight="15" x14ac:dyDescent="0.25"/>
  <cols>
    <col min="1" max="1" width="30.85546875" customWidth="1"/>
    <col min="2" max="2" width="42" customWidth="1"/>
    <col min="3" max="3" width="13.42578125" customWidth="1"/>
    <col min="4" max="4" width="20.28515625" customWidth="1"/>
    <col min="5" max="5" width="10.85546875" customWidth="1"/>
    <col min="6" max="6" width="16.42578125" style="97" customWidth="1"/>
    <col min="7" max="7" width="11.140625" customWidth="1"/>
    <col min="8" max="8" width="19.5703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04"/>
      <c r="B3" s="204"/>
      <c r="C3" s="204"/>
      <c r="D3" s="204"/>
      <c r="E3" s="204"/>
      <c r="F3" s="90"/>
      <c r="G3" s="204"/>
      <c r="H3" s="204"/>
    </row>
    <row r="4" spans="1:8" s="47" customFormat="1" ht="15.75" x14ac:dyDescent="0.25">
      <c r="A4" s="844" t="s">
        <v>229</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59" t="s">
        <v>51</v>
      </c>
      <c r="C7" s="859" t="s">
        <v>4</v>
      </c>
      <c r="D7" s="1050" t="s">
        <v>3</v>
      </c>
      <c r="E7" s="1050" t="s">
        <v>48</v>
      </c>
      <c r="F7" s="1058" t="s">
        <v>1</v>
      </c>
      <c r="G7" s="1050" t="s">
        <v>59</v>
      </c>
      <c r="H7" s="1050"/>
    </row>
    <row r="8" spans="1:8" s="3" customFormat="1" ht="21" customHeight="1" x14ac:dyDescent="0.25">
      <c r="A8" s="859"/>
      <c r="B8" s="859"/>
      <c r="C8" s="859"/>
      <c r="D8" s="1050"/>
      <c r="E8" s="1050"/>
      <c r="F8" s="1058"/>
      <c r="G8" s="206" t="s">
        <v>48</v>
      </c>
      <c r="H8" s="206" t="s">
        <v>60</v>
      </c>
    </row>
    <row r="9" spans="1:8" s="12" customFormat="1" ht="20.25" customHeight="1" x14ac:dyDescent="0.25">
      <c r="A9" s="10" t="s">
        <v>14</v>
      </c>
      <c r="B9" s="10"/>
      <c r="C9" s="11"/>
      <c r="D9" s="11"/>
      <c r="E9" s="14"/>
      <c r="F9" s="139">
        <f>F11+F17+F23+F29+F39+F53+F90</f>
        <v>50457437.700000003</v>
      </c>
      <c r="G9" s="11"/>
      <c r="H9" s="139">
        <f>H11+H17+H23+H29+H39+H53+H90</f>
        <v>183506760</v>
      </c>
    </row>
    <row r="10" spans="1:8" s="8" customFormat="1" ht="8.25" customHeight="1" x14ac:dyDescent="0.25">
      <c r="A10" s="7"/>
      <c r="B10" s="7"/>
      <c r="C10" s="7"/>
      <c r="D10" s="7"/>
      <c r="E10" s="7"/>
      <c r="F10" s="93"/>
      <c r="G10" s="7"/>
      <c r="H10" s="7"/>
    </row>
    <row r="11" spans="1:8" s="3" customFormat="1" ht="19.5" customHeight="1" x14ac:dyDescent="0.25">
      <c r="A11" s="926" t="s">
        <v>5</v>
      </c>
      <c r="B11" s="831" t="s">
        <v>50</v>
      </c>
      <c r="C11" s="967" t="s">
        <v>21</v>
      </c>
      <c r="D11" s="70" t="s">
        <v>98</v>
      </c>
      <c r="E11" s="70">
        <f>SUM(E12:E15)</f>
        <v>9724</v>
      </c>
      <c r="F11" s="84">
        <f>SUM(F12:F15)</f>
        <v>35582300</v>
      </c>
      <c r="G11" s="70">
        <f>SUM(G12:G15)</f>
        <v>10871</v>
      </c>
      <c r="H11" s="71">
        <f>SUM(H12:H15)</f>
        <v>163065000</v>
      </c>
    </row>
    <row r="12" spans="1:8" s="3" customFormat="1" ht="21.75" customHeight="1" x14ac:dyDescent="0.25">
      <c r="A12" s="1037"/>
      <c r="B12" s="832"/>
      <c r="C12" s="1038"/>
      <c r="D12" s="83" t="s">
        <v>113</v>
      </c>
      <c r="E12" s="30">
        <v>2223</v>
      </c>
      <c r="F12" s="37">
        <v>14938800</v>
      </c>
      <c r="G12" s="4">
        <v>2779</v>
      </c>
      <c r="H12" s="17">
        <v>41685000</v>
      </c>
    </row>
    <row r="13" spans="1:8" s="2" customFormat="1" ht="14.25" customHeight="1" x14ac:dyDescent="0.25">
      <c r="A13" s="191"/>
      <c r="B13" s="832"/>
      <c r="C13" s="209"/>
      <c r="D13" s="83" t="s">
        <v>114</v>
      </c>
      <c r="E13" s="30">
        <v>2275</v>
      </c>
      <c r="F13" s="37">
        <v>13944400</v>
      </c>
      <c r="G13" s="4">
        <v>2372</v>
      </c>
      <c r="H13" s="17">
        <v>35580000</v>
      </c>
    </row>
    <row r="14" spans="1:8" s="2" customFormat="1" ht="14.25" customHeight="1" x14ac:dyDescent="0.25">
      <c r="A14" s="918"/>
      <c r="B14" s="832"/>
      <c r="C14" s="209"/>
      <c r="D14" s="83" t="s">
        <v>115</v>
      </c>
      <c r="E14" s="30">
        <v>555</v>
      </c>
      <c r="F14" s="37">
        <v>3978100</v>
      </c>
      <c r="G14" s="4">
        <v>583</v>
      </c>
      <c r="H14" s="17">
        <v>8745000</v>
      </c>
    </row>
    <row r="15" spans="1:8" s="2" customFormat="1" ht="51.75" customHeight="1" x14ac:dyDescent="0.25">
      <c r="A15" s="1063"/>
      <c r="B15" s="832"/>
      <c r="C15" s="210"/>
      <c r="D15" s="195" t="s">
        <v>116</v>
      </c>
      <c r="E15" s="233">
        <v>4671</v>
      </c>
      <c r="F15" s="234">
        <v>2721000</v>
      </c>
      <c r="G15" s="196">
        <v>5137</v>
      </c>
      <c r="H15" s="197">
        <v>77055000</v>
      </c>
    </row>
    <row r="16" spans="1:8" s="8" customFormat="1" ht="8.25" customHeight="1" x14ac:dyDescent="0.25">
      <c r="A16" s="7"/>
      <c r="B16" s="7"/>
      <c r="C16" s="7"/>
      <c r="D16" s="7"/>
      <c r="E16" s="7"/>
      <c r="F16" s="93"/>
      <c r="G16" s="7"/>
      <c r="H16" s="7"/>
    </row>
    <row r="17" spans="1:8" s="9" customFormat="1" ht="20.25" customHeight="1" x14ac:dyDescent="0.25">
      <c r="A17" s="926" t="s">
        <v>7</v>
      </c>
      <c r="B17" s="832" t="s">
        <v>52</v>
      </c>
      <c r="C17" s="967" t="s">
        <v>53</v>
      </c>
      <c r="D17" s="70" t="s">
        <v>98</v>
      </c>
      <c r="E17" s="70">
        <f>SUM(E18:E21)</f>
        <v>87</v>
      </c>
      <c r="F17" s="84">
        <f>SUM(F18:F21)</f>
        <v>860000</v>
      </c>
      <c r="G17" s="70">
        <f>SUM(G18:G21)</f>
        <v>110</v>
      </c>
      <c r="H17" s="71">
        <f>SUM(H18:H21)</f>
        <v>900000</v>
      </c>
    </row>
    <row r="18" spans="1:8" s="9" customFormat="1" ht="18" customHeight="1" x14ac:dyDescent="0.25">
      <c r="A18" s="1037"/>
      <c r="B18" s="832"/>
      <c r="C18" s="1038"/>
      <c r="D18" s="83" t="s">
        <v>113</v>
      </c>
      <c r="E18" s="30">
        <f>82</f>
        <v>82</v>
      </c>
      <c r="F18" s="37">
        <f>810000</f>
        <v>810000</v>
      </c>
      <c r="G18" s="4">
        <v>15</v>
      </c>
      <c r="H18" s="17">
        <v>150000</v>
      </c>
    </row>
    <row r="19" spans="1:8" s="2" customFormat="1" ht="15" customHeight="1" x14ac:dyDescent="0.25">
      <c r="A19" s="209"/>
      <c r="B19" s="832"/>
      <c r="C19" s="209"/>
      <c r="D19" s="83" t="s">
        <v>114</v>
      </c>
      <c r="E19" s="30">
        <f>1</f>
        <v>1</v>
      </c>
      <c r="F19" s="37">
        <f>10000</f>
        <v>10000</v>
      </c>
      <c r="G19" s="4">
        <v>15</v>
      </c>
      <c r="H19" s="17">
        <v>150000</v>
      </c>
    </row>
    <row r="20" spans="1:8" s="2" customFormat="1" ht="15" customHeight="1" x14ac:dyDescent="0.25">
      <c r="A20" s="209"/>
      <c r="B20" s="832"/>
      <c r="C20" s="209"/>
      <c r="D20" s="83" t="s">
        <v>115</v>
      </c>
      <c r="E20" s="30"/>
      <c r="F20" s="37"/>
      <c r="G20" s="4">
        <v>50</v>
      </c>
      <c r="H20" s="17">
        <v>300000</v>
      </c>
    </row>
    <row r="21" spans="1:8" s="2" customFormat="1" ht="57" customHeight="1" x14ac:dyDescent="0.25">
      <c r="A21" s="210"/>
      <c r="B21" s="832"/>
      <c r="C21" s="210"/>
      <c r="D21" s="195" t="s">
        <v>116</v>
      </c>
      <c r="E21" s="233">
        <f>4</f>
        <v>4</v>
      </c>
      <c r="F21" s="234">
        <f>40000</f>
        <v>40000</v>
      </c>
      <c r="G21" s="196">
        <v>30</v>
      </c>
      <c r="H21" s="197">
        <v>300000</v>
      </c>
    </row>
    <row r="22" spans="1:8" s="8" customFormat="1" ht="8.25" customHeight="1" x14ac:dyDescent="0.25">
      <c r="A22" s="7"/>
      <c r="B22" s="7"/>
      <c r="C22" s="7"/>
      <c r="D22" s="7"/>
      <c r="E22" s="7"/>
      <c r="F22" s="93"/>
      <c r="G22" s="7"/>
      <c r="H22" s="7"/>
    </row>
    <row r="23" spans="1:8" s="9" customFormat="1" ht="15.75" customHeight="1" x14ac:dyDescent="0.25">
      <c r="A23" s="926" t="s">
        <v>6</v>
      </c>
      <c r="B23" s="831" t="s">
        <v>54</v>
      </c>
      <c r="C23" s="856" t="s">
        <v>20</v>
      </c>
      <c r="D23" s="70" t="s">
        <v>98</v>
      </c>
      <c r="E23" s="70">
        <f>SUM(E24:E27)</f>
        <v>6597</v>
      </c>
      <c r="F23" s="84">
        <f>SUM(F24:F27)</f>
        <v>10370420</v>
      </c>
      <c r="G23" s="70">
        <f>SUM(G24:G27)</f>
        <v>8496</v>
      </c>
      <c r="H23" s="71">
        <f>SUM(H24:H27)</f>
        <v>13253760</v>
      </c>
    </row>
    <row r="24" spans="1:8" s="9" customFormat="1" ht="20.25" customHeight="1" x14ac:dyDescent="0.25">
      <c r="A24" s="1037"/>
      <c r="B24" s="832"/>
      <c r="C24" s="857"/>
      <c r="D24" s="83" t="s">
        <v>113</v>
      </c>
      <c r="E24" s="30">
        <v>2139</v>
      </c>
      <c r="F24" s="37">
        <v>3362490</v>
      </c>
      <c r="G24" s="4">
        <v>3067</v>
      </c>
      <c r="H24" s="17">
        <v>4784520</v>
      </c>
    </row>
    <row r="25" spans="1:8" s="22" customFormat="1" ht="14.25" customHeight="1" x14ac:dyDescent="0.25">
      <c r="A25" s="230"/>
      <c r="B25" s="832"/>
      <c r="C25" s="857"/>
      <c r="D25" s="83" t="s">
        <v>114</v>
      </c>
      <c r="E25" s="30">
        <f>971+486</f>
        <v>1457</v>
      </c>
      <c r="F25" s="37">
        <f>1526410+763960</f>
        <v>2290370</v>
      </c>
      <c r="G25" s="4">
        <v>1800</v>
      </c>
      <c r="H25" s="17">
        <v>2808000</v>
      </c>
    </row>
    <row r="26" spans="1:8" s="22" customFormat="1" x14ac:dyDescent="0.25">
      <c r="A26" s="230"/>
      <c r="B26" s="832"/>
      <c r="C26" s="857"/>
      <c r="D26" s="83" t="s">
        <v>115</v>
      </c>
      <c r="E26" s="30">
        <v>560</v>
      </c>
      <c r="F26" s="37">
        <v>880300</v>
      </c>
      <c r="G26" s="4">
        <v>700</v>
      </c>
      <c r="H26" s="17">
        <v>1092000</v>
      </c>
    </row>
    <row r="27" spans="1:8" s="22" customFormat="1" x14ac:dyDescent="0.25">
      <c r="A27" s="229"/>
      <c r="B27" s="229"/>
      <c r="C27" s="857"/>
      <c r="D27" s="83" t="s">
        <v>116</v>
      </c>
      <c r="E27" s="30">
        <v>2441</v>
      </c>
      <c r="F27" s="37">
        <v>3837260</v>
      </c>
      <c r="G27" s="4">
        <v>2929</v>
      </c>
      <c r="H27" s="17">
        <v>4569240</v>
      </c>
    </row>
    <row r="28" spans="1:8" s="8" customFormat="1" ht="8.25" customHeight="1" x14ac:dyDescent="0.25">
      <c r="A28" s="7"/>
      <c r="B28" s="7"/>
      <c r="C28" s="7"/>
      <c r="D28" s="7"/>
      <c r="E28" s="7"/>
      <c r="F28" s="93"/>
      <c r="G28" s="7"/>
      <c r="H28" s="7"/>
    </row>
    <row r="29" spans="1:8" s="9" customFormat="1" ht="21.75" customHeight="1" x14ac:dyDescent="0.25">
      <c r="A29" s="214" t="s">
        <v>16</v>
      </c>
      <c r="B29" s="856" t="s">
        <v>55</v>
      </c>
      <c r="C29" s="856" t="s">
        <v>19</v>
      </c>
      <c r="D29" s="224" t="s">
        <v>98</v>
      </c>
      <c r="E29" s="224">
        <f>SUM(E30:E33)</f>
        <v>378</v>
      </c>
      <c r="F29" s="231">
        <f>SUM(F30:F33)</f>
        <v>1603500</v>
      </c>
      <c r="G29" s="224">
        <f>SUM(G30:G33)</f>
        <v>1048</v>
      </c>
      <c r="H29" s="232">
        <f>SUM(H30:H33)</f>
        <v>6288000</v>
      </c>
    </row>
    <row r="30" spans="1:8" s="9" customFormat="1" ht="21" customHeight="1" x14ac:dyDescent="0.25">
      <c r="A30" s="218"/>
      <c r="B30" s="857"/>
      <c r="C30" s="857"/>
      <c r="D30" s="83" t="s">
        <v>113</v>
      </c>
      <c r="E30" s="101">
        <v>82</v>
      </c>
      <c r="F30" s="37">
        <v>355000</v>
      </c>
      <c r="G30" s="4">
        <v>252</v>
      </c>
      <c r="H30" s="17">
        <v>1512000</v>
      </c>
    </row>
    <row r="31" spans="1:8" s="1" customFormat="1" ht="18" customHeight="1" x14ac:dyDescent="0.25">
      <c r="A31" s="55"/>
      <c r="B31" s="857"/>
      <c r="C31" s="857"/>
      <c r="D31" s="83" t="s">
        <v>114</v>
      </c>
      <c r="E31" s="101">
        <v>82</v>
      </c>
      <c r="F31" s="37">
        <v>347500</v>
      </c>
      <c r="G31" s="4">
        <v>262</v>
      </c>
      <c r="H31" s="17">
        <v>1572000</v>
      </c>
    </row>
    <row r="32" spans="1:8" s="1" customFormat="1" x14ac:dyDescent="0.25">
      <c r="A32" s="55"/>
      <c r="B32" s="857"/>
      <c r="C32" s="857"/>
      <c r="D32" s="83" t="s">
        <v>115</v>
      </c>
      <c r="E32" s="101">
        <v>98</v>
      </c>
      <c r="F32" s="37">
        <v>418000</v>
      </c>
      <c r="G32" s="4">
        <v>258</v>
      </c>
      <c r="H32" s="17">
        <v>1548000</v>
      </c>
    </row>
    <row r="33" spans="1:8" s="1" customFormat="1" x14ac:dyDescent="0.25">
      <c r="A33" s="56"/>
      <c r="B33" s="56"/>
      <c r="C33" s="921"/>
      <c r="D33" s="83" t="s">
        <v>116</v>
      </c>
      <c r="E33" s="101">
        <v>116</v>
      </c>
      <c r="F33" s="37">
        <v>483000</v>
      </c>
      <c r="G33" s="4">
        <v>276</v>
      </c>
      <c r="H33" s="17">
        <v>1656000</v>
      </c>
    </row>
    <row r="34" spans="1:8" s="182" customFormat="1" ht="8.25" customHeight="1" x14ac:dyDescent="0.25">
      <c r="F34" s="183"/>
    </row>
    <row r="35" spans="1:8" s="182" customFormat="1" ht="8.25" customHeight="1" x14ac:dyDescent="0.25">
      <c r="F35" s="183"/>
    </row>
    <row r="36" spans="1:8" s="182" customFormat="1" ht="8.25" customHeight="1" x14ac:dyDescent="0.25">
      <c r="F36" s="183"/>
    </row>
    <row r="37" spans="1:8" s="182" customFormat="1" ht="8.25" customHeight="1" x14ac:dyDescent="0.25">
      <c r="F37" s="183"/>
    </row>
    <row r="38" spans="1:8" s="182" customFormat="1" ht="8.25" customHeight="1" x14ac:dyDescent="0.25">
      <c r="F38" s="183"/>
    </row>
    <row r="39" spans="1:8" s="9" customFormat="1" ht="15.75" customHeight="1" x14ac:dyDescent="0.25">
      <c r="A39" s="926" t="s">
        <v>17</v>
      </c>
      <c r="B39" s="923" t="s">
        <v>56</v>
      </c>
      <c r="C39" s="926" t="s">
        <v>18</v>
      </c>
      <c r="D39" s="70" t="s">
        <v>98</v>
      </c>
      <c r="E39" s="70">
        <f>SUM(E40:E43)</f>
        <v>10</v>
      </c>
      <c r="F39" s="84">
        <f>SUM(F40:F43)</f>
        <v>18472</v>
      </c>
      <c r="G39" s="70">
        <f>SUM(G40:G43)</f>
        <v>0</v>
      </c>
      <c r="H39" s="71">
        <f>SUM(H40:H43)</f>
        <v>0</v>
      </c>
    </row>
    <row r="40" spans="1:8" s="9" customFormat="1" ht="21.75" customHeight="1" x14ac:dyDescent="0.25">
      <c r="A40" s="1037"/>
      <c r="B40" s="924"/>
      <c r="C40" s="1037"/>
      <c r="D40" s="83" t="s">
        <v>113</v>
      </c>
      <c r="E40" s="30">
        <f>1+1</f>
        <v>2</v>
      </c>
      <c r="F40" s="37">
        <f>1000+10000</f>
        <v>11000</v>
      </c>
      <c r="G40" s="4"/>
      <c r="H40" s="17"/>
    </row>
    <row r="41" spans="1:8" s="1" customFormat="1" x14ac:dyDescent="0.25">
      <c r="A41" s="55"/>
      <c r="B41" s="924"/>
      <c r="C41" s="55"/>
      <c r="D41" s="83" t="s">
        <v>114</v>
      </c>
      <c r="E41" s="30">
        <f>1+1</f>
        <v>2</v>
      </c>
      <c r="F41" s="37">
        <f>1500+1500</f>
        <v>3000</v>
      </c>
      <c r="G41" s="4"/>
      <c r="H41" s="17"/>
    </row>
    <row r="42" spans="1:8" s="1" customFormat="1" x14ac:dyDescent="0.25">
      <c r="A42" s="55"/>
      <c r="B42" s="924"/>
      <c r="C42" s="55"/>
      <c r="D42" s="83" t="s">
        <v>115</v>
      </c>
      <c r="E42" s="30">
        <f>1</f>
        <v>1</v>
      </c>
      <c r="F42" s="37">
        <f>1500</f>
        <v>1500</v>
      </c>
      <c r="G42" s="4"/>
      <c r="H42" s="17"/>
    </row>
    <row r="43" spans="1:8" s="1" customFormat="1" x14ac:dyDescent="0.25">
      <c r="A43" s="56"/>
      <c r="B43" s="924"/>
      <c r="C43" s="56"/>
      <c r="D43" s="83" t="s">
        <v>116</v>
      </c>
      <c r="E43" s="30">
        <f>1+4</f>
        <v>5</v>
      </c>
      <c r="F43" s="37">
        <f>1146+1826</f>
        <v>2972</v>
      </c>
      <c r="G43" s="4"/>
      <c r="H43" s="17"/>
    </row>
    <row r="44" spans="1:8" s="8" customFormat="1" ht="8.25" customHeight="1" x14ac:dyDescent="0.25">
      <c r="A44" s="7"/>
      <c r="B44" s="7"/>
      <c r="C44" s="7"/>
      <c r="D44" s="7"/>
      <c r="E44" s="7"/>
      <c r="F44" s="93"/>
      <c r="G44" s="7"/>
      <c r="H44" s="7"/>
    </row>
    <row r="45" spans="1:8" s="9" customFormat="1" ht="34.5" hidden="1" customHeight="1" x14ac:dyDescent="0.25">
      <c r="A45" s="6" t="s">
        <v>22</v>
      </c>
      <c r="B45" s="831" t="s">
        <v>57</v>
      </c>
      <c r="C45" s="6" t="s">
        <v>37</v>
      </c>
      <c r="D45" s="6"/>
      <c r="E45" s="42">
        <f>SUM(E46:E51)</f>
        <v>227</v>
      </c>
      <c r="F45" s="94">
        <f>SUM(F46:F51)</f>
        <v>562960</v>
      </c>
      <c r="G45" s="6"/>
      <c r="H45" s="6"/>
    </row>
    <row r="46" spans="1:8" s="1" customFormat="1" ht="15" hidden="1" customHeight="1" x14ac:dyDescent="0.25">
      <c r="A46" s="972" t="s">
        <v>35</v>
      </c>
      <c r="B46" s="832"/>
      <c r="C46" s="5"/>
      <c r="D46" s="4" t="s">
        <v>42</v>
      </c>
      <c r="E46" s="44"/>
      <c r="F46" s="41"/>
      <c r="G46" s="5"/>
      <c r="H46" s="4" t="s">
        <v>8</v>
      </c>
    </row>
    <row r="47" spans="1:8" s="1" customFormat="1" ht="15" hidden="1" customHeight="1" x14ac:dyDescent="0.25">
      <c r="A47" s="918"/>
      <c r="B47" s="833"/>
      <c r="C47" s="5"/>
      <c r="D47" s="4" t="s">
        <v>43</v>
      </c>
      <c r="E47" s="44"/>
      <c r="F47" s="38"/>
      <c r="G47" s="5"/>
      <c r="H47" s="4" t="s">
        <v>9</v>
      </c>
    </row>
    <row r="48" spans="1:8" s="1" customFormat="1" ht="15" hidden="1" customHeight="1" x14ac:dyDescent="0.25">
      <c r="A48" s="918"/>
      <c r="B48" s="201"/>
      <c r="C48" s="5"/>
      <c r="D48" s="4" t="s">
        <v>44</v>
      </c>
      <c r="E48" s="45">
        <v>227</v>
      </c>
      <c r="F48" s="39">
        <v>562960</v>
      </c>
      <c r="G48" s="5"/>
      <c r="H48" s="4" t="s">
        <v>10</v>
      </c>
    </row>
    <row r="49" spans="1:9" s="1" customFormat="1" ht="15" hidden="1" customHeight="1" x14ac:dyDescent="0.25">
      <c r="A49" s="918"/>
      <c r="B49" s="201"/>
      <c r="C49" s="5"/>
      <c r="D49" s="4" t="s">
        <v>45</v>
      </c>
      <c r="E49" s="44"/>
      <c r="F49" s="39"/>
      <c r="G49" s="5"/>
      <c r="H49" s="4" t="s">
        <v>11</v>
      </c>
    </row>
    <row r="50" spans="1:9" s="1" customFormat="1" ht="15" hidden="1" customHeight="1" x14ac:dyDescent="0.25">
      <c r="A50" s="918"/>
      <c r="B50" s="201"/>
      <c r="C50" s="5"/>
      <c r="D50" s="4" t="s">
        <v>46</v>
      </c>
      <c r="E50" s="44"/>
      <c r="F50" s="39"/>
      <c r="G50" s="5"/>
      <c r="H50" s="4" t="s">
        <v>12</v>
      </c>
    </row>
    <row r="51" spans="1:9" s="1" customFormat="1" ht="15" hidden="1" customHeight="1" x14ac:dyDescent="0.25">
      <c r="A51" s="918"/>
      <c r="B51" s="201"/>
      <c r="C51" s="5"/>
      <c r="D51" s="4" t="s">
        <v>47</v>
      </c>
      <c r="E51" s="44"/>
      <c r="F51" s="40"/>
      <c r="G51" s="5"/>
      <c r="H51" s="4" t="s">
        <v>13</v>
      </c>
    </row>
    <row r="52" spans="1:9" s="8" customFormat="1" ht="8.25" hidden="1" customHeight="1" x14ac:dyDescent="0.25">
      <c r="A52" s="7"/>
      <c r="B52" s="7"/>
      <c r="C52" s="7"/>
      <c r="D52" s="7"/>
      <c r="E52" s="7"/>
      <c r="F52" s="93"/>
      <c r="G52" s="7"/>
      <c r="H52" s="7"/>
    </row>
    <row r="53" spans="1:9" s="9" customFormat="1" ht="21" customHeight="1" x14ac:dyDescent="0.25">
      <c r="A53" s="926" t="s">
        <v>23</v>
      </c>
      <c r="B53" s="831" t="s">
        <v>58</v>
      </c>
      <c r="C53" s="926" t="s">
        <v>24</v>
      </c>
      <c r="D53" s="70" t="s">
        <v>98</v>
      </c>
      <c r="E53" s="70">
        <f>SUM(E54:E57)</f>
        <v>6078</v>
      </c>
      <c r="F53" s="84">
        <f>SUM(F54:F57)</f>
        <v>1643563.2</v>
      </c>
      <c r="G53" s="70">
        <f>SUM(G54:G57)</f>
        <v>0</v>
      </c>
      <c r="H53" s="71">
        <f>SUM(H54:H57)</f>
        <v>0</v>
      </c>
      <c r="I53" s="66"/>
    </row>
    <row r="54" spans="1:9" s="9" customFormat="1" ht="30" customHeight="1" x14ac:dyDescent="0.25">
      <c r="A54" s="1037"/>
      <c r="B54" s="832"/>
      <c r="C54" s="1037"/>
      <c r="D54" s="83" t="s">
        <v>113</v>
      </c>
      <c r="E54" s="30">
        <v>2540</v>
      </c>
      <c r="F54" s="37">
        <v>680794.8</v>
      </c>
      <c r="G54" s="4"/>
      <c r="H54" s="17"/>
      <c r="I54" s="66"/>
    </row>
    <row r="55" spans="1:9" s="9" customFormat="1" ht="18" customHeight="1" x14ac:dyDescent="0.25">
      <c r="A55" s="200"/>
      <c r="B55" s="832"/>
      <c r="C55" s="200"/>
      <c r="D55" s="83" t="s">
        <v>114</v>
      </c>
      <c r="E55" s="30">
        <v>1500</v>
      </c>
      <c r="F55" s="37">
        <v>375000</v>
      </c>
      <c r="G55" s="4"/>
      <c r="H55" s="17"/>
      <c r="I55" s="66"/>
    </row>
    <row r="56" spans="1:9" s="16" customFormat="1" x14ac:dyDescent="0.25">
      <c r="A56" s="203"/>
      <c r="B56" s="832"/>
      <c r="C56" s="203"/>
      <c r="D56" s="83" t="s">
        <v>115</v>
      </c>
      <c r="E56" s="30">
        <v>2000</v>
      </c>
      <c r="F56" s="37">
        <v>578112</v>
      </c>
      <c r="G56" s="4"/>
      <c r="H56" s="17"/>
    </row>
    <row r="57" spans="1:9" s="1" customFormat="1" ht="31.5" customHeight="1" x14ac:dyDescent="0.25">
      <c r="A57" s="56"/>
      <c r="B57" s="832"/>
      <c r="C57" s="56"/>
      <c r="D57" s="195" t="s">
        <v>116</v>
      </c>
      <c r="E57" s="233">
        <v>38</v>
      </c>
      <c r="F57" s="234">
        <v>9656.4</v>
      </c>
      <c r="G57" s="196"/>
      <c r="H57" s="197"/>
    </row>
    <row r="58" spans="1:9" s="8" customFormat="1" ht="8.25" customHeight="1" x14ac:dyDescent="0.25">
      <c r="A58" s="7"/>
      <c r="B58" s="7"/>
      <c r="C58" s="7"/>
      <c r="D58" s="7"/>
      <c r="E58" s="7"/>
      <c r="F58" s="93"/>
      <c r="G58" s="7"/>
      <c r="H58" s="7"/>
    </row>
    <row r="59" spans="1:9" s="9" customFormat="1" ht="30" hidden="1" customHeight="1" x14ac:dyDescent="0.25">
      <c r="A59" s="200" t="s">
        <v>63</v>
      </c>
      <c r="B59" s="831" t="s">
        <v>64</v>
      </c>
      <c r="C59" s="199" t="s">
        <v>65</v>
      </c>
      <c r="D59" s="132" t="s">
        <v>81</v>
      </c>
      <c r="E59" s="147">
        <f>SUM(E62:E66)</f>
        <v>0</v>
      </c>
      <c r="F59" s="137">
        <f>SUM(F62:F66)</f>
        <v>0</v>
      </c>
      <c r="G59" s="207" t="e">
        <f>G60+#REF!</f>
        <v>#REF!</v>
      </c>
      <c r="H59" s="69" t="e">
        <f>H60+#REF!</f>
        <v>#REF!</v>
      </c>
    </row>
    <row r="60" spans="1:9" s="9" customFormat="1" ht="30" hidden="1" customHeight="1" x14ac:dyDescent="0.25">
      <c r="A60" s="198"/>
      <c r="B60" s="879"/>
      <c r="C60" s="6"/>
      <c r="D60" s="70" t="s">
        <v>79</v>
      </c>
      <c r="E60" s="64"/>
      <c r="F60" s="95"/>
      <c r="G60" s="63">
        <f>SUM(G61:G66)</f>
        <v>24</v>
      </c>
      <c r="H60" s="78">
        <f>SUM(H61:H66)</f>
        <v>800000</v>
      </c>
    </row>
    <row r="61" spans="1:9" s="16" customFormat="1" ht="15" hidden="1" customHeight="1" x14ac:dyDescent="0.25">
      <c r="A61" s="869"/>
      <c r="B61" s="879"/>
      <c r="C61" s="15"/>
      <c r="D61" s="83" t="s">
        <v>91</v>
      </c>
      <c r="E61" s="44"/>
      <c r="F61" s="41"/>
      <c r="G61" s="15"/>
      <c r="H61" s="53"/>
    </row>
    <row r="62" spans="1:9" s="1" customFormat="1" ht="15" hidden="1" customHeight="1" x14ac:dyDescent="0.25">
      <c r="A62" s="870"/>
      <c r="B62" s="879"/>
      <c r="C62" s="5"/>
      <c r="D62" s="83" t="s">
        <v>92</v>
      </c>
      <c r="E62" s="44"/>
      <c r="F62" s="38"/>
      <c r="G62" s="20"/>
      <c r="H62" s="17"/>
    </row>
    <row r="63" spans="1:9" s="1" customFormat="1" ht="15" hidden="1" customHeight="1" x14ac:dyDescent="0.25">
      <c r="A63" s="55"/>
      <c r="B63" s="879"/>
      <c r="C63" s="5"/>
      <c r="D63" s="83" t="s">
        <v>93</v>
      </c>
      <c r="E63" s="44"/>
      <c r="F63" s="39"/>
      <c r="G63" s="20">
        <v>4</v>
      </c>
      <c r="H63" s="17">
        <v>40000</v>
      </c>
    </row>
    <row r="64" spans="1:9" s="1" customFormat="1" ht="15" hidden="1" customHeight="1" x14ac:dyDescent="0.25">
      <c r="A64" s="55"/>
      <c r="B64" s="879"/>
      <c r="C64" s="5"/>
      <c r="D64" s="83" t="s">
        <v>94</v>
      </c>
      <c r="E64" s="44"/>
      <c r="F64" s="39"/>
      <c r="G64" s="20">
        <v>14</v>
      </c>
      <c r="H64" s="17">
        <f>700000</f>
        <v>700000</v>
      </c>
    </row>
    <row r="65" spans="1:8" s="1" customFormat="1" ht="15" hidden="1" customHeight="1" x14ac:dyDescent="0.25">
      <c r="A65" s="55"/>
      <c r="B65" s="879"/>
      <c r="C65" s="5"/>
      <c r="D65" s="83" t="s">
        <v>95</v>
      </c>
      <c r="E65" s="44"/>
      <c r="F65" s="39"/>
      <c r="G65" s="20"/>
      <c r="H65" s="17"/>
    </row>
    <row r="66" spans="1:8" s="1" customFormat="1" ht="15" hidden="1" customHeight="1" x14ac:dyDescent="0.25">
      <c r="A66" s="56"/>
      <c r="B66" s="966"/>
      <c r="C66" s="5"/>
      <c r="D66" s="83" t="s">
        <v>96</v>
      </c>
      <c r="E66" s="44"/>
      <c r="F66" s="62"/>
      <c r="G66" s="20">
        <v>6</v>
      </c>
      <c r="H66" s="17">
        <v>60000</v>
      </c>
    </row>
    <row r="67" spans="1:8" s="2" customFormat="1" ht="24" hidden="1" customHeight="1" x14ac:dyDescent="0.25">
      <c r="A67" s="201"/>
      <c r="B67" s="202"/>
      <c r="C67" s="63"/>
      <c r="D67" s="70" t="s">
        <v>80</v>
      </c>
      <c r="E67" s="70">
        <f>SUM(E68:E74)</f>
        <v>0</v>
      </c>
      <c r="F67" s="84">
        <f>SUM(F68:F74)</f>
        <v>0</v>
      </c>
      <c r="G67" s="70">
        <f>SUM(G68:G74)</f>
        <v>0</v>
      </c>
      <c r="H67" s="71">
        <f>SUM(H68:H74)</f>
        <v>0</v>
      </c>
    </row>
    <row r="68" spans="1:8" s="2" customFormat="1" ht="14.25" hidden="1" customHeight="1" x14ac:dyDescent="0.25">
      <c r="A68" s="201"/>
      <c r="B68" s="202"/>
      <c r="C68" s="4"/>
      <c r="D68" s="83" t="s">
        <v>100</v>
      </c>
      <c r="E68" s="30"/>
      <c r="F68" s="37"/>
      <c r="G68" s="4"/>
      <c r="H68" s="17"/>
    </row>
    <row r="69" spans="1:8" s="2" customFormat="1" ht="14.25" hidden="1" customHeight="1" x14ac:dyDescent="0.25">
      <c r="A69" s="201"/>
      <c r="B69" s="202"/>
      <c r="C69" s="4"/>
      <c r="D69" s="83" t="s">
        <v>101</v>
      </c>
      <c r="E69" s="30"/>
      <c r="F69" s="37"/>
      <c r="G69" s="4"/>
      <c r="H69" s="17"/>
    </row>
    <row r="70" spans="1:8" s="2" customFormat="1" ht="14.25" hidden="1" customHeight="1" x14ac:dyDescent="0.25">
      <c r="A70" s="201"/>
      <c r="B70" s="202"/>
      <c r="C70" s="4"/>
      <c r="D70" s="83" t="s">
        <v>102</v>
      </c>
      <c r="E70" s="30"/>
      <c r="F70" s="37"/>
      <c r="G70" s="4"/>
      <c r="H70" s="17"/>
    </row>
    <row r="71" spans="1:8" s="2" customFormat="1" ht="14.25" hidden="1" customHeight="1" x14ac:dyDescent="0.25">
      <c r="A71" s="201"/>
      <c r="B71" s="202"/>
      <c r="C71" s="4"/>
      <c r="D71" s="83" t="s">
        <v>103</v>
      </c>
      <c r="E71" s="30"/>
      <c r="F71" s="37"/>
      <c r="G71" s="4"/>
      <c r="H71" s="17"/>
    </row>
    <row r="72" spans="1:8" s="2" customFormat="1" ht="14.25" hidden="1" customHeight="1" x14ac:dyDescent="0.25">
      <c r="A72" s="201"/>
      <c r="B72" s="202"/>
      <c r="C72" s="4"/>
      <c r="D72" s="83" t="s">
        <v>104</v>
      </c>
      <c r="E72" s="30"/>
      <c r="F72" s="37"/>
      <c r="G72" s="4"/>
      <c r="H72" s="17"/>
    </row>
    <row r="73" spans="1:8" s="2" customFormat="1" ht="14.25" hidden="1" customHeight="1" x14ac:dyDescent="0.25">
      <c r="A73" s="201"/>
      <c r="B73" s="202"/>
      <c r="C73" s="4"/>
      <c r="D73" s="83" t="s">
        <v>105</v>
      </c>
      <c r="E73" s="30"/>
      <c r="F73" s="37"/>
      <c r="G73" s="4"/>
      <c r="H73" s="17"/>
    </row>
    <row r="74" spans="1:8" s="2" customFormat="1" ht="14.25" hidden="1" customHeight="1" x14ac:dyDescent="0.25">
      <c r="A74" s="201"/>
      <c r="B74" s="202"/>
      <c r="C74" s="4"/>
      <c r="D74" s="83" t="s">
        <v>106</v>
      </c>
      <c r="E74" s="30"/>
      <c r="F74" s="37"/>
      <c r="G74" s="4"/>
      <c r="H74" s="17"/>
    </row>
    <row r="75" spans="1:8" s="2" customFormat="1" ht="24" hidden="1" customHeight="1" x14ac:dyDescent="0.25">
      <c r="A75" s="201"/>
      <c r="B75" s="202"/>
      <c r="C75" s="63"/>
      <c r="D75" s="70" t="s">
        <v>97</v>
      </c>
      <c r="E75" s="70">
        <f>SUM(E76:E81)</f>
        <v>0</v>
      </c>
      <c r="F75" s="84">
        <f>SUM(F76:F81)</f>
        <v>0</v>
      </c>
      <c r="G75" s="70">
        <f>SUM(G76:G81)</f>
        <v>0</v>
      </c>
      <c r="H75" s="71">
        <f>SUM(H76:H81)</f>
        <v>0</v>
      </c>
    </row>
    <row r="76" spans="1:8" s="2" customFormat="1" ht="14.25" hidden="1" customHeight="1" x14ac:dyDescent="0.25">
      <c r="A76" s="201"/>
      <c r="B76" s="202"/>
      <c r="C76" s="4"/>
      <c r="D76" s="83" t="s">
        <v>107</v>
      </c>
      <c r="E76" s="30"/>
      <c r="F76" s="37"/>
      <c r="G76" s="4"/>
      <c r="H76" s="17"/>
    </row>
    <row r="77" spans="1:8" s="2" customFormat="1" ht="14.25" hidden="1" customHeight="1" x14ac:dyDescent="0.25">
      <c r="A77" s="201"/>
      <c r="B77" s="202"/>
      <c r="C77" s="4"/>
      <c r="D77" s="83" t="s">
        <v>108</v>
      </c>
      <c r="E77" s="30"/>
      <c r="F77" s="37"/>
      <c r="G77" s="4"/>
      <c r="H77" s="17"/>
    </row>
    <row r="78" spans="1:8" s="2" customFormat="1" ht="14.25" hidden="1" customHeight="1" x14ac:dyDescent="0.25">
      <c r="A78" s="201"/>
      <c r="B78" s="202"/>
      <c r="C78" s="4"/>
      <c r="D78" s="83" t="s">
        <v>109</v>
      </c>
      <c r="E78" s="30"/>
      <c r="F78" s="37"/>
      <c r="G78" s="4"/>
      <c r="H78" s="17"/>
    </row>
    <row r="79" spans="1:8" s="2" customFormat="1" ht="14.25" hidden="1" customHeight="1" x14ac:dyDescent="0.25">
      <c r="A79" s="201"/>
      <c r="B79" s="202"/>
      <c r="C79" s="4"/>
      <c r="D79" s="83" t="s">
        <v>110</v>
      </c>
      <c r="E79" s="30"/>
      <c r="F79" s="37"/>
      <c r="G79" s="4"/>
      <c r="H79" s="17"/>
    </row>
    <row r="80" spans="1:8" s="2" customFormat="1" ht="14.25" hidden="1" customHeight="1" x14ac:dyDescent="0.25">
      <c r="A80" s="201"/>
      <c r="B80" s="202"/>
      <c r="C80" s="4"/>
      <c r="D80" s="83" t="s">
        <v>111</v>
      </c>
      <c r="E80" s="30"/>
      <c r="F80" s="37"/>
      <c r="G80" s="4"/>
      <c r="H80" s="17"/>
    </row>
    <row r="81" spans="1:8" s="2" customFormat="1" ht="14.25" hidden="1" customHeight="1" x14ac:dyDescent="0.25">
      <c r="A81" s="201"/>
      <c r="B81" s="202"/>
      <c r="C81" s="4"/>
      <c r="D81" s="83" t="s">
        <v>112</v>
      </c>
      <c r="E81" s="30"/>
      <c r="F81" s="37"/>
      <c r="G81" s="4"/>
      <c r="H81" s="17"/>
    </row>
    <row r="82" spans="1:8" s="2" customFormat="1" ht="24" hidden="1" customHeight="1" x14ac:dyDescent="0.25">
      <c r="A82" s="201"/>
      <c r="B82" s="202"/>
      <c r="C82" s="63"/>
      <c r="D82" s="70" t="s">
        <v>98</v>
      </c>
      <c r="E82" s="70">
        <f>SUM(E83:E86)</f>
        <v>0</v>
      </c>
      <c r="F82" s="84">
        <f>SUM(F83:F86)</f>
        <v>0</v>
      </c>
      <c r="G82" s="70">
        <f>SUM(G83:G86)</f>
        <v>0</v>
      </c>
      <c r="H82" s="71">
        <f>SUM(H83:H86)</f>
        <v>0</v>
      </c>
    </row>
    <row r="83" spans="1:8" s="2" customFormat="1" ht="14.25" hidden="1" customHeight="1" x14ac:dyDescent="0.25">
      <c r="A83" s="201"/>
      <c r="B83" s="202"/>
      <c r="C83" s="4"/>
      <c r="D83" s="83" t="s">
        <v>113</v>
      </c>
      <c r="E83" s="30"/>
      <c r="F83" s="37"/>
      <c r="G83" s="4"/>
      <c r="H83" s="17"/>
    </row>
    <row r="84" spans="1:8" s="2" customFormat="1" ht="14.25" hidden="1" customHeight="1" x14ac:dyDescent="0.25">
      <c r="A84" s="201"/>
      <c r="B84" s="202"/>
      <c r="C84" s="4"/>
      <c r="D84" s="83" t="s">
        <v>114</v>
      </c>
      <c r="E84" s="30"/>
      <c r="F84" s="37"/>
      <c r="G84" s="4"/>
      <c r="H84" s="17"/>
    </row>
    <row r="85" spans="1:8" s="2" customFormat="1" ht="14.25" hidden="1" customHeight="1" x14ac:dyDescent="0.25">
      <c r="A85" s="201"/>
      <c r="B85" s="202"/>
      <c r="C85" s="4"/>
      <c r="D85" s="83" t="s">
        <v>115</v>
      </c>
      <c r="E85" s="30"/>
      <c r="F85" s="37"/>
      <c r="G85" s="4"/>
      <c r="H85" s="17"/>
    </row>
    <row r="86" spans="1:8" s="2" customFormat="1" ht="14.25" hidden="1" customHeight="1" x14ac:dyDescent="0.25">
      <c r="A86" s="201"/>
      <c r="B86" s="202"/>
      <c r="C86" s="4"/>
      <c r="D86" s="83" t="s">
        <v>116</v>
      </c>
      <c r="E86" s="30"/>
      <c r="F86" s="37"/>
      <c r="G86" s="4"/>
      <c r="H86" s="17"/>
    </row>
    <row r="87" spans="1:8" s="2" customFormat="1" ht="24" hidden="1" customHeight="1" x14ac:dyDescent="0.25">
      <c r="A87" s="201"/>
      <c r="B87" s="202"/>
      <c r="C87" s="63"/>
      <c r="D87" s="70" t="s">
        <v>99</v>
      </c>
      <c r="E87" s="70">
        <f>SUM(E88)</f>
        <v>0</v>
      </c>
      <c r="F87" s="84">
        <f>SUM(F88)</f>
        <v>0</v>
      </c>
      <c r="G87" s="70">
        <f>SUM(G88)</f>
        <v>0</v>
      </c>
      <c r="H87" s="84">
        <f>SUM(H88)</f>
        <v>0</v>
      </c>
    </row>
    <row r="88" spans="1:8" s="2" customFormat="1" ht="14.25" hidden="1" customHeight="1" x14ac:dyDescent="0.25">
      <c r="A88" s="201"/>
      <c r="B88" s="202"/>
      <c r="C88" s="4"/>
      <c r="D88" s="83" t="s">
        <v>117</v>
      </c>
      <c r="E88" s="30"/>
      <c r="F88" s="37"/>
      <c r="G88" s="4"/>
      <c r="H88" s="17"/>
    </row>
    <row r="89" spans="1:8" s="8" customFormat="1" ht="8.25" hidden="1" customHeight="1" x14ac:dyDescent="0.25">
      <c r="A89" s="60"/>
      <c r="B89" s="60"/>
      <c r="C89" s="60"/>
      <c r="D89" s="60"/>
      <c r="E89" s="60"/>
      <c r="F89" s="96"/>
      <c r="G89" s="60"/>
      <c r="H89" s="60"/>
    </row>
    <row r="90" spans="1:8" s="9" customFormat="1" ht="23.25" customHeight="1" x14ac:dyDescent="0.25">
      <c r="A90" s="198" t="s">
        <v>67</v>
      </c>
      <c r="B90" s="831" t="s">
        <v>68</v>
      </c>
      <c r="C90" s="926" t="s">
        <v>65</v>
      </c>
      <c r="D90" s="70" t="s">
        <v>98</v>
      </c>
      <c r="E90" s="70">
        <f>SUM(E91:E94)</f>
        <v>1527</v>
      </c>
      <c r="F90" s="84">
        <f>SUM(F91:F94)</f>
        <v>379182.5</v>
      </c>
      <c r="G90" s="70">
        <f>SUM(G91:G94)</f>
        <v>0</v>
      </c>
      <c r="H90" s="71">
        <f>SUM(H91:H94)</f>
        <v>0</v>
      </c>
    </row>
    <row r="91" spans="1:8" s="9" customFormat="1" ht="18.75" customHeight="1" x14ac:dyDescent="0.25">
      <c r="A91" s="200"/>
      <c r="B91" s="879"/>
      <c r="C91" s="1037"/>
      <c r="D91" s="83" t="s">
        <v>113</v>
      </c>
      <c r="E91" s="30"/>
      <c r="F91" s="37"/>
      <c r="G91" s="4"/>
      <c r="H91" s="17"/>
    </row>
    <row r="92" spans="1:8" s="16" customFormat="1" ht="15" customHeight="1" x14ac:dyDescent="0.25">
      <c r="A92" s="870"/>
      <c r="B92" s="879"/>
      <c r="C92" s="203"/>
      <c r="D92" s="83" t="s">
        <v>114</v>
      </c>
      <c r="E92" s="30">
        <f>822+500</f>
        <v>1322</v>
      </c>
      <c r="F92" s="37">
        <f>203445+125000</f>
        <v>328445</v>
      </c>
      <c r="G92" s="4"/>
      <c r="H92" s="17"/>
    </row>
    <row r="93" spans="1:8" s="1" customFormat="1" x14ac:dyDescent="0.25">
      <c r="A93" s="870"/>
      <c r="B93" s="879"/>
      <c r="C93" s="55"/>
      <c r="D93" s="83" t="s">
        <v>115</v>
      </c>
      <c r="E93" s="30"/>
      <c r="F93" s="37"/>
      <c r="G93" s="4"/>
      <c r="H93" s="17"/>
    </row>
    <row r="94" spans="1:8" s="1" customFormat="1" ht="44.25" customHeight="1" x14ac:dyDescent="0.25">
      <c r="A94" s="56"/>
      <c r="B94" s="966"/>
      <c r="C94" s="56"/>
      <c r="D94" s="195" t="s">
        <v>116</v>
      </c>
      <c r="E94" s="233">
        <f>205</f>
        <v>205</v>
      </c>
      <c r="F94" s="234">
        <f>50737.5</f>
        <v>50737.5</v>
      </c>
      <c r="G94" s="196"/>
      <c r="H94" s="197"/>
    </row>
    <row r="95" spans="1:8" x14ac:dyDescent="0.25">
      <c r="A95" t="s">
        <v>26</v>
      </c>
      <c r="B95" t="s">
        <v>28</v>
      </c>
      <c r="D95" t="s">
        <v>31</v>
      </c>
      <c r="F95"/>
    </row>
    <row r="96" spans="1:8" x14ac:dyDescent="0.25">
      <c r="F96"/>
    </row>
    <row r="97" spans="1:6" x14ac:dyDescent="0.25">
      <c r="F97"/>
    </row>
    <row r="98" spans="1:6" x14ac:dyDescent="0.25">
      <c r="F98"/>
    </row>
    <row r="99" spans="1:6" x14ac:dyDescent="0.25">
      <c r="A99" t="s">
        <v>27</v>
      </c>
      <c r="B99" t="s">
        <v>29</v>
      </c>
      <c r="D99" t="s">
        <v>32</v>
      </c>
      <c r="F99"/>
    </row>
    <row r="100" spans="1:6" x14ac:dyDescent="0.25">
      <c r="A100" t="s">
        <v>223</v>
      </c>
      <c r="B100" t="s">
        <v>30</v>
      </c>
      <c r="D100" t="s">
        <v>33</v>
      </c>
      <c r="F100"/>
    </row>
  </sheetData>
  <mergeCells count="36">
    <mergeCell ref="A1:H1"/>
    <mergeCell ref="A2:H2"/>
    <mergeCell ref="A4:H4"/>
    <mergeCell ref="A5:H5"/>
    <mergeCell ref="A7:A8"/>
    <mergeCell ref="B7:B8"/>
    <mergeCell ref="C7:C8"/>
    <mergeCell ref="D7:D8"/>
    <mergeCell ref="E7:E8"/>
    <mergeCell ref="F7:F8"/>
    <mergeCell ref="G7:H7"/>
    <mergeCell ref="A11:A12"/>
    <mergeCell ref="B11:B15"/>
    <mergeCell ref="C11:C12"/>
    <mergeCell ref="A14:A15"/>
    <mergeCell ref="A17:A18"/>
    <mergeCell ref="B17:B21"/>
    <mergeCell ref="C17:C18"/>
    <mergeCell ref="A23:A24"/>
    <mergeCell ref="B23:B26"/>
    <mergeCell ref="C23:C27"/>
    <mergeCell ref="B29:B32"/>
    <mergeCell ref="C29:C33"/>
    <mergeCell ref="A39:A40"/>
    <mergeCell ref="B39:B43"/>
    <mergeCell ref="C39:C40"/>
    <mergeCell ref="B90:B94"/>
    <mergeCell ref="C90:C91"/>
    <mergeCell ref="A92:A93"/>
    <mergeCell ref="B45:B47"/>
    <mergeCell ref="A46:A51"/>
    <mergeCell ref="A53:A54"/>
    <mergeCell ref="B53:B57"/>
    <mergeCell ref="C53:C54"/>
    <mergeCell ref="B59:B66"/>
    <mergeCell ref="A61:A62"/>
  </mergeCells>
  <printOptions horizontalCentered="1"/>
  <pageMargins left="0.52" right="0.67" top="0.68" bottom="0.69" header="0.3" footer="0.4"/>
  <pageSetup paperSize="9" scale="80" orientation="landscape" verticalDpi="300" r:id="rId1"/>
  <headerFooter>
    <oddFooter>&amp;L4th District of Bulacan
&amp;CPage &amp;P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16"/>
      <c r="B3" s="216"/>
      <c r="C3" s="216"/>
      <c r="D3" s="216"/>
      <c r="E3" s="216"/>
    </row>
    <row r="4" spans="1:5" s="47" customFormat="1" ht="15.75" x14ac:dyDescent="0.25">
      <c r="A4" s="844" t="s">
        <v>260</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98</v>
      </c>
      <c r="D8" s="224">
        <f>SUM(D9:D10)</f>
        <v>5</v>
      </c>
      <c r="E8" s="84">
        <f>SUM(E9:E10)</f>
        <v>4450000</v>
      </c>
    </row>
    <row r="9" spans="1:5" s="3" customFormat="1" ht="21.75" customHeight="1" x14ac:dyDescent="0.25">
      <c r="A9" s="870"/>
      <c r="B9" s="1066"/>
      <c r="C9" s="259" t="s">
        <v>113</v>
      </c>
      <c r="D9" s="260">
        <v>2</v>
      </c>
      <c r="E9" s="261">
        <v>800000</v>
      </c>
    </row>
    <row r="10" spans="1:5" s="2" customFormat="1" ht="71.25" customHeight="1" x14ac:dyDescent="0.25">
      <c r="A10" s="873"/>
      <c r="B10" s="1065"/>
      <c r="C10" s="196" t="s">
        <v>114</v>
      </c>
      <c r="D10" s="233">
        <v>3</v>
      </c>
      <c r="E10" s="234">
        <v>3650000</v>
      </c>
    </row>
    <row r="11" spans="1:5" ht="21" customHeight="1" x14ac:dyDescent="0.25">
      <c r="A11" s="52"/>
      <c r="B11" s="258"/>
      <c r="C11" s="115"/>
      <c r="D11" s="251"/>
      <c r="E11" s="252"/>
    </row>
    <row r="12" spans="1:5" ht="15" customHeight="1" x14ac:dyDescent="0.25">
      <c r="A12" s="52"/>
      <c r="B12" s="258"/>
      <c r="C12" s="115"/>
      <c r="D12" s="251"/>
      <c r="E12" s="252"/>
    </row>
    <row r="13" spans="1:5" x14ac:dyDescent="0.25">
      <c r="A13" t="s">
        <v>27</v>
      </c>
      <c r="B13" t="s">
        <v>29</v>
      </c>
      <c r="D13" t="s">
        <v>32</v>
      </c>
    </row>
    <row r="14" spans="1:5" x14ac:dyDescent="0.25">
      <c r="A14" t="s">
        <v>223</v>
      </c>
      <c r="B14" t="s">
        <v>30</v>
      </c>
      <c r="D14" t="s">
        <v>33</v>
      </c>
    </row>
  </sheetData>
  <mergeCells count="10">
    <mergeCell ref="A8:A10"/>
    <mergeCell ref="B8:B10"/>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A20" zoomScaleNormal="100" workbookViewId="0">
      <selection activeCell="G25" sqref="G25"/>
    </sheetView>
  </sheetViews>
  <sheetFormatPr defaultRowHeight="15" x14ac:dyDescent="0.25"/>
  <cols>
    <col min="1" max="1" width="23.140625" customWidth="1"/>
    <col min="2" max="2" width="9.28515625" style="796" customWidth="1"/>
    <col min="3" max="3" width="17.140625" style="796" customWidth="1"/>
    <col min="4" max="4" width="8.7109375" style="796" customWidth="1"/>
    <col min="5" max="5" width="17.140625" style="796" customWidth="1"/>
    <col min="6" max="6" width="9.42578125" style="796" customWidth="1"/>
    <col min="7" max="7" width="16.85546875" style="796" bestFit="1" customWidth="1"/>
    <col min="8" max="8" width="7.85546875" style="796" customWidth="1"/>
    <col min="9" max="9" width="15.5703125" style="90" customWidth="1"/>
    <col min="10" max="10" width="7.28515625" style="796" customWidth="1"/>
    <col min="11" max="11" width="15.5703125" style="796" customWidth="1"/>
    <col min="12" max="12" width="7.5703125" style="796" customWidth="1"/>
    <col min="13" max="13" width="15.5703125" style="796" customWidth="1"/>
    <col min="14" max="14" width="7.85546875" style="796" customWidth="1"/>
    <col min="15" max="15" width="15.5703125" style="90" customWidth="1"/>
    <col min="16" max="16" width="7.28515625" style="796" customWidth="1"/>
    <col min="17" max="17" width="15.5703125" style="796" customWidth="1"/>
    <col min="18" max="18" width="7.5703125" style="796" customWidth="1"/>
    <col min="19" max="19" width="15.5703125" style="796" customWidth="1"/>
    <col min="20" max="20" width="7.85546875" style="796" customWidth="1"/>
    <col min="21" max="21" width="15.5703125" style="90" customWidth="1"/>
    <col min="22" max="22" width="7.28515625" style="796" customWidth="1"/>
    <col min="23" max="23" width="15.5703125" style="90" customWidth="1"/>
    <col min="24" max="24" width="7.5703125" style="796" customWidth="1"/>
    <col min="25" max="25" width="15.5703125" style="796" customWidth="1"/>
    <col min="26" max="26" width="7.85546875" style="796" customWidth="1"/>
    <col min="27" max="27" width="15.5703125" style="90" customWidth="1"/>
    <col min="28" max="28" width="8.85546875" style="796" customWidth="1"/>
    <col min="29" max="29" width="15.5703125" style="796" customWidth="1"/>
    <col min="30" max="30" width="9.140625" style="796" customWidth="1"/>
    <col min="31" max="31" width="15.5703125" style="796" customWidth="1"/>
    <col min="32" max="32" width="7.85546875" style="796" customWidth="1"/>
    <col min="33" max="33" width="15.5703125" style="90" customWidth="1"/>
    <col min="34" max="34" width="8.85546875" style="796" customWidth="1"/>
    <col min="35" max="35" width="15.5703125" style="90" customWidth="1"/>
    <col min="36" max="36" width="9.140625" style="796" customWidth="1"/>
    <col min="37" max="37" width="15.5703125" style="796" customWidth="1"/>
    <col min="38" max="38" width="19" style="90" hidden="1" customWidth="1"/>
    <col min="39" max="39" width="15.5703125" style="796" hidden="1" customWidth="1"/>
    <col min="40" max="40" width="18.5703125" style="796" hidden="1" customWidth="1"/>
    <col min="41" max="56" width="0" hidden="1" customWidth="1"/>
    <col min="57" max="57" width="7.85546875" style="796" customWidth="1"/>
    <col min="58" max="58" width="15.5703125" style="90" customWidth="1"/>
    <col min="59" max="59" width="8.85546875" style="796" customWidth="1"/>
    <col min="60" max="60" width="15.5703125" style="90" customWidth="1"/>
    <col min="61" max="61" width="9.140625" style="796" customWidth="1"/>
    <col min="62" max="62" width="15.5703125" style="796" customWidth="1"/>
  </cols>
  <sheetData>
    <row r="1" spans="1:62" x14ac:dyDescent="0.25">
      <c r="A1" t="s">
        <v>39</v>
      </c>
      <c r="B1" s="799"/>
      <c r="C1" s="799"/>
      <c r="D1" s="799"/>
      <c r="E1" s="799"/>
      <c r="F1" s="799"/>
      <c r="G1" s="799"/>
      <c r="H1" s="799"/>
      <c r="J1" s="799"/>
      <c r="K1" s="799"/>
      <c r="L1" s="799"/>
      <c r="M1" s="799"/>
      <c r="N1" s="799"/>
      <c r="P1" s="799"/>
      <c r="Q1" s="799"/>
      <c r="R1" s="799"/>
      <c r="S1" s="799"/>
      <c r="T1" s="799"/>
      <c r="V1" s="799"/>
      <c r="X1" s="799"/>
      <c r="Y1" s="799"/>
      <c r="Z1" s="799"/>
      <c r="AB1" s="799"/>
      <c r="AC1" s="799"/>
      <c r="AD1" s="799"/>
      <c r="AE1" s="799"/>
      <c r="AF1" s="799"/>
      <c r="AH1" s="799"/>
      <c r="AJ1" s="799"/>
      <c r="AK1" s="799"/>
      <c r="AM1" s="799"/>
      <c r="AN1" s="799"/>
      <c r="BE1" s="799"/>
      <c r="BG1" s="799"/>
      <c r="BI1" s="799"/>
      <c r="BJ1" s="799"/>
    </row>
    <row r="2" spans="1:62" x14ac:dyDescent="0.25">
      <c r="A2" t="s">
        <v>40</v>
      </c>
      <c r="B2" s="799"/>
      <c r="C2" s="799"/>
      <c r="D2" s="799"/>
      <c r="E2" s="799"/>
      <c r="F2" s="799"/>
      <c r="G2" s="799"/>
      <c r="H2" s="799"/>
      <c r="J2" s="799"/>
      <c r="K2" s="799"/>
      <c r="L2" s="799"/>
      <c r="M2" s="799"/>
      <c r="N2" s="799"/>
      <c r="P2" s="799"/>
      <c r="Q2" s="799"/>
      <c r="R2" s="799"/>
      <c r="S2" s="799"/>
      <c r="T2" s="799"/>
      <c r="V2" s="799"/>
      <c r="X2" s="799"/>
      <c r="Y2" s="799"/>
      <c r="Z2" s="799"/>
      <c r="AB2" s="799"/>
      <c r="AC2" s="799"/>
      <c r="AD2" s="799"/>
      <c r="AE2" s="799"/>
      <c r="AF2" s="799"/>
      <c r="AH2" s="799"/>
      <c r="AJ2" s="799"/>
      <c r="AK2" s="799"/>
      <c r="AM2" s="799"/>
      <c r="AN2" s="799"/>
      <c r="BE2" s="799"/>
      <c r="BG2" s="799"/>
      <c r="BI2" s="799"/>
      <c r="BJ2" s="799"/>
    </row>
    <row r="3" spans="1:62" x14ac:dyDescent="0.25">
      <c r="A3" t="s">
        <v>302</v>
      </c>
      <c r="B3" s="799"/>
      <c r="C3" s="799"/>
      <c r="D3" s="799"/>
      <c r="E3" s="799"/>
      <c r="F3" s="799"/>
      <c r="G3" s="799"/>
      <c r="H3" s="799"/>
      <c r="J3" s="799"/>
      <c r="K3" s="799"/>
      <c r="L3" s="799"/>
      <c r="M3" s="799"/>
      <c r="N3" s="799"/>
      <c r="P3" s="799"/>
      <c r="Q3" s="799"/>
      <c r="R3" s="799"/>
      <c r="S3" s="799"/>
      <c r="T3" s="799"/>
      <c r="V3" s="799"/>
      <c r="X3" s="799"/>
      <c r="Y3" s="799"/>
      <c r="Z3" s="799"/>
      <c r="AB3" s="799"/>
      <c r="AC3" s="799"/>
      <c r="AD3" s="799"/>
      <c r="AE3" s="799"/>
      <c r="AF3" s="799"/>
      <c r="AG3" s="883" t="s">
        <v>443</v>
      </c>
      <c r="AH3" s="884"/>
      <c r="AJ3" s="799"/>
      <c r="AK3" s="799"/>
      <c r="AM3" s="799"/>
      <c r="AN3" s="799"/>
      <c r="BE3" s="799"/>
      <c r="BG3" s="799"/>
      <c r="BI3" s="799"/>
      <c r="BJ3" s="799"/>
    </row>
    <row r="4" spans="1:62" x14ac:dyDescent="0.25">
      <c r="B4" s="799"/>
      <c r="C4" s="799"/>
      <c r="D4" s="799"/>
      <c r="E4" s="799"/>
      <c r="F4" s="799"/>
      <c r="G4" s="799"/>
      <c r="H4" s="799"/>
      <c r="J4" s="799"/>
      <c r="K4" s="799"/>
      <c r="L4" s="799"/>
      <c r="M4" s="799"/>
      <c r="N4" s="799"/>
      <c r="P4" s="799"/>
      <c r="Q4" s="799"/>
      <c r="R4" s="799"/>
      <c r="S4" s="799"/>
      <c r="T4" s="799"/>
      <c r="V4" s="799"/>
      <c r="X4" s="799"/>
      <c r="Y4" s="799"/>
      <c r="Z4" s="799"/>
      <c r="AB4" s="799"/>
      <c r="AC4" s="799"/>
      <c r="AD4" s="799"/>
      <c r="AE4" s="799"/>
      <c r="AF4" s="799"/>
      <c r="AH4" s="799"/>
      <c r="AJ4" s="799"/>
      <c r="AK4" s="799"/>
      <c r="AM4" s="799"/>
      <c r="AN4" s="799"/>
      <c r="BE4" s="799"/>
      <c r="BG4" s="799"/>
      <c r="BI4" s="799"/>
      <c r="BJ4" s="799"/>
    </row>
    <row r="5" spans="1:62" x14ac:dyDescent="0.25">
      <c r="A5" t="s">
        <v>442</v>
      </c>
      <c r="B5" s="799"/>
      <c r="C5" s="799"/>
      <c r="D5" s="799"/>
      <c r="E5" s="799"/>
      <c r="F5" s="799"/>
      <c r="G5" s="799"/>
      <c r="H5" s="799"/>
      <c r="J5" s="799"/>
      <c r="K5" s="799"/>
      <c r="L5" s="799"/>
      <c r="M5" s="799"/>
      <c r="N5" s="799"/>
      <c r="P5" s="799"/>
      <c r="Q5" s="799"/>
      <c r="R5" s="799"/>
      <c r="S5" s="799"/>
      <c r="T5" s="799"/>
      <c r="V5" s="799"/>
      <c r="X5" s="799"/>
      <c r="Y5" s="799"/>
      <c r="Z5" s="799"/>
      <c r="AB5" s="799"/>
      <c r="AC5" s="799"/>
      <c r="AD5" s="799"/>
      <c r="AE5" s="799"/>
      <c r="AF5" s="799"/>
      <c r="AH5" s="799"/>
      <c r="AJ5" s="799"/>
      <c r="AK5" s="799"/>
      <c r="AM5" s="799"/>
      <c r="AN5" s="799"/>
      <c r="BE5" s="799"/>
      <c r="BG5" s="799"/>
      <c r="BI5" s="799"/>
      <c r="BJ5" s="799"/>
    </row>
    <row r="6" spans="1:62" x14ac:dyDescent="0.25">
      <c r="B6" s="799"/>
      <c r="C6" s="799"/>
      <c r="D6" s="799"/>
      <c r="E6" s="799"/>
      <c r="F6" s="799"/>
      <c r="G6" s="799"/>
      <c r="H6" s="799"/>
      <c r="J6" s="799"/>
      <c r="K6" s="799"/>
      <c r="L6" s="799"/>
      <c r="M6" s="799"/>
      <c r="N6" s="799"/>
      <c r="P6" s="799"/>
      <c r="Q6" s="799"/>
      <c r="R6" s="799"/>
      <c r="S6" s="799"/>
      <c r="T6" s="799"/>
      <c r="V6" s="799"/>
      <c r="X6" s="799"/>
      <c r="Y6" s="799"/>
      <c r="Z6" s="799"/>
      <c r="AB6" s="799"/>
      <c r="AC6" s="799"/>
      <c r="AD6" s="799"/>
      <c r="AE6" s="799"/>
      <c r="AF6" s="799"/>
      <c r="AH6" s="799"/>
      <c r="AJ6" s="799"/>
      <c r="AK6" s="799"/>
      <c r="AM6" s="799"/>
      <c r="AN6" s="799"/>
      <c r="BE6" s="799"/>
      <c r="BG6" s="799"/>
      <c r="BI6" s="799"/>
      <c r="BJ6" s="799"/>
    </row>
    <row r="7" spans="1:62" s="343" customFormat="1" ht="34.5" customHeight="1" x14ac:dyDescent="0.25">
      <c r="A7" s="880" t="s">
        <v>426</v>
      </c>
      <c r="B7" s="880" t="s">
        <v>427</v>
      </c>
      <c r="C7" s="880"/>
      <c r="D7" s="880"/>
      <c r="E7" s="880"/>
      <c r="F7" s="880"/>
      <c r="G7" s="880"/>
      <c r="H7" s="881" t="s">
        <v>428</v>
      </c>
      <c r="I7" s="882"/>
      <c r="J7" s="882"/>
      <c r="K7" s="882"/>
      <c r="L7" s="882"/>
      <c r="M7" s="882"/>
      <c r="N7" s="881" t="s">
        <v>429</v>
      </c>
      <c r="O7" s="882"/>
      <c r="P7" s="882"/>
      <c r="Q7" s="882"/>
      <c r="R7" s="882"/>
      <c r="S7" s="885"/>
      <c r="T7" s="883" t="s">
        <v>436</v>
      </c>
      <c r="U7" s="886"/>
      <c r="V7" s="886"/>
      <c r="W7" s="886"/>
      <c r="X7" s="886"/>
      <c r="Y7" s="886"/>
      <c r="Z7" s="881" t="s">
        <v>430</v>
      </c>
      <c r="AA7" s="882"/>
      <c r="AB7" s="882"/>
      <c r="AC7" s="882"/>
      <c r="AD7" s="882"/>
      <c r="AE7" s="882"/>
      <c r="AF7" s="881" t="s">
        <v>440</v>
      </c>
      <c r="AG7" s="882"/>
      <c r="AH7" s="882"/>
      <c r="AI7" s="882"/>
      <c r="AJ7" s="882"/>
      <c r="AK7" s="882"/>
      <c r="AL7" s="887" t="s">
        <v>81</v>
      </c>
      <c r="AM7" s="887"/>
      <c r="AN7" s="887"/>
      <c r="BE7" s="881" t="s">
        <v>441</v>
      </c>
      <c r="BF7" s="882"/>
      <c r="BG7" s="882"/>
      <c r="BH7" s="882"/>
      <c r="BI7" s="882"/>
      <c r="BJ7" s="882"/>
    </row>
    <row r="8" spans="1:62" s="343" customFormat="1" ht="34.5" customHeight="1" x14ac:dyDescent="0.25">
      <c r="A8" s="880"/>
      <c r="B8" s="883" t="s">
        <v>431</v>
      </c>
      <c r="C8" s="884"/>
      <c r="D8" s="881" t="s">
        <v>432</v>
      </c>
      <c r="E8" s="885"/>
      <c r="F8" s="883" t="s">
        <v>443</v>
      </c>
      <c r="G8" s="884"/>
      <c r="H8" s="883" t="s">
        <v>431</v>
      </c>
      <c r="I8" s="884"/>
      <c r="J8" s="881" t="s">
        <v>432</v>
      </c>
      <c r="K8" s="885"/>
      <c r="L8" s="883" t="s">
        <v>443</v>
      </c>
      <c r="M8" s="884"/>
      <c r="N8" s="883" t="s">
        <v>431</v>
      </c>
      <c r="O8" s="884"/>
      <c r="P8" s="881" t="s">
        <v>432</v>
      </c>
      <c r="Q8" s="885"/>
      <c r="R8" s="883" t="s">
        <v>433</v>
      </c>
      <c r="S8" s="884"/>
      <c r="T8" s="883" t="s">
        <v>431</v>
      </c>
      <c r="U8" s="884"/>
      <c r="V8" s="881" t="s">
        <v>432</v>
      </c>
      <c r="W8" s="885"/>
      <c r="X8" s="883" t="s">
        <v>433</v>
      </c>
      <c r="Y8" s="884"/>
      <c r="Z8" s="883" t="s">
        <v>431</v>
      </c>
      <c r="AA8" s="884"/>
      <c r="AB8" s="881" t="s">
        <v>432</v>
      </c>
      <c r="AC8" s="885"/>
      <c r="AD8" s="883" t="s">
        <v>433</v>
      </c>
      <c r="AE8" s="884"/>
      <c r="AF8" s="883" t="s">
        <v>431</v>
      </c>
      <c r="AG8" s="884"/>
      <c r="AH8" s="881" t="s">
        <v>432</v>
      </c>
      <c r="AI8" s="885"/>
      <c r="AJ8" s="883" t="s">
        <v>443</v>
      </c>
      <c r="AK8" s="884"/>
      <c r="AL8" s="815" t="s">
        <v>437</v>
      </c>
      <c r="AM8" s="814" t="s">
        <v>438</v>
      </c>
      <c r="AN8" s="814" t="s">
        <v>439</v>
      </c>
      <c r="BE8" s="883" t="s">
        <v>431</v>
      </c>
      <c r="BF8" s="884"/>
      <c r="BG8" s="881" t="s">
        <v>432</v>
      </c>
      <c r="BH8" s="885"/>
      <c r="BI8" s="883" t="s">
        <v>443</v>
      </c>
      <c r="BJ8" s="884"/>
    </row>
    <row r="9" spans="1:62" s="343" customFormat="1" ht="34.5" customHeight="1" x14ac:dyDescent="0.25">
      <c r="A9" s="880"/>
      <c r="B9" s="803" t="s">
        <v>434</v>
      </c>
      <c r="C9" s="803" t="s">
        <v>60</v>
      </c>
      <c r="D9" s="803" t="s">
        <v>435</v>
      </c>
      <c r="E9" s="803" t="s">
        <v>305</v>
      </c>
      <c r="F9" s="803" t="s">
        <v>435</v>
      </c>
      <c r="G9" s="803" t="s">
        <v>60</v>
      </c>
      <c r="H9" s="803" t="s">
        <v>434</v>
      </c>
      <c r="I9" s="816" t="s">
        <v>60</v>
      </c>
      <c r="J9" s="803" t="s">
        <v>435</v>
      </c>
      <c r="K9" s="803" t="s">
        <v>305</v>
      </c>
      <c r="L9" s="803" t="s">
        <v>435</v>
      </c>
      <c r="M9" s="803" t="s">
        <v>60</v>
      </c>
      <c r="N9" s="803" t="s">
        <v>434</v>
      </c>
      <c r="O9" s="816" t="s">
        <v>60</v>
      </c>
      <c r="P9" s="803" t="s">
        <v>435</v>
      </c>
      <c r="Q9" s="803" t="s">
        <v>305</v>
      </c>
      <c r="R9" s="803" t="s">
        <v>435</v>
      </c>
      <c r="S9" s="803" t="s">
        <v>60</v>
      </c>
      <c r="T9" s="803" t="s">
        <v>434</v>
      </c>
      <c r="U9" s="816" t="s">
        <v>60</v>
      </c>
      <c r="V9" s="803" t="s">
        <v>435</v>
      </c>
      <c r="W9" s="816" t="s">
        <v>305</v>
      </c>
      <c r="X9" s="803" t="s">
        <v>435</v>
      </c>
      <c r="Y9" s="803" t="s">
        <v>60</v>
      </c>
      <c r="Z9" s="802" t="s">
        <v>253</v>
      </c>
      <c r="AA9" s="816" t="s">
        <v>60</v>
      </c>
      <c r="AB9" s="802" t="s">
        <v>253</v>
      </c>
      <c r="AC9" s="803" t="s">
        <v>305</v>
      </c>
      <c r="AD9" s="802" t="s">
        <v>253</v>
      </c>
      <c r="AE9" s="803" t="s">
        <v>60</v>
      </c>
      <c r="AF9" s="802" t="s">
        <v>434</v>
      </c>
      <c r="AG9" s="816" t="s">
        <v>60</v>
      </c>
      <c r="AH9" s="802" t="s">
        <v>253</v>
      </c>
      <c r="AI9" s="816" t="s">
        <v>305</v>
      </c>
      <c r="AJ9" s="802" t="s">
        <v>253</v>
      </c>
      <c r="AK9" s="803" t="s">
        <v>60</v>
      </c>
      <c r="AL9" s="816" t="s">
        <v>60</v>
      </c>
      <c r="AM9" s="803" t="s">
        <v>305</v>
      </c>
      <c r="AN9" s="803" t="s">
        <v>60</v>
      </c>
      <c r="BE9" s="802" t="s">
        <v>434</v>
      </c>
      <c r="BF9" s="816" t="s">
        <v>60</v>
      </c>
      <c r="BG9" s="802" t="s">
        <v>253</v>
      </c>
      <c r="BH9" s="816" t="s">
        <v>305</v>
      </c>
      <c r="BI9" s="802" t="s">
        <v>253</v>
      </c>
      <c r="BJ9" s="803" t="s">
        <v>60</v>
      </c>
    </row>
    <row r="10" spans="1:62" x14ac:dyDescent="0.25">
      <c r="A10" s="880"/>
      <c r="B10" s="804">
        <v>2015</v>
      </c>
      <c r="C10" s="804"/>
      <c r="D10" s="804"/>
      <c r="E10" s="804"/>
      <c r="F10" s="804"/>
      <c r="G10" s="804">
        <v>2016</v>
      </c>
      <c r="H10" s="804">
        <v>2015</v>
      </c>
      <c r="I10" s="817"/>
      <c r="J10" s="804"/>
      <c r="K10" s="804"/>
      <c r="L10" s="804"/>
      <c r="M10" s="804"/>
      <c r="N10" s="804">
        <v>2015</v>
      </c>
      <c r="O10" s="817"/>
      <c r="P10" s="804"/>
      <c r="Q10" s="804"/>
      <c r="R10" s="804"/>
      <c r="S10" s="804"/>
      <c r="T10" s="804">
        <v>2015</v>
      </c>
      <c r="U10" s="817"/>
      <c r="V10" s="804"/>
      <c r="W10" s="817"/>
      <c r="X10" s="804"/>
      <c r="Y10" s="804"/>
      <c r="Z10" s="804">
        <v>2015</v>
      </c>
      <c r="AA10" s="817"/>
      <c r="AB10" s="804"/>
      <c r="AC10" s="804"/>
      <c r="AD10" s="804"/>
      <c r="AE10" s="804"/>
      <c r="AF10" s="804">
        <v>2015</v>
      </c>
      <c r="AG10" s="817"/>
      <c r="AH10" s="804"/>
      <c r="AI10" s="817"/>
      <c r="AJ10" s="804"/>
      <c r="AK10" s="804"/>
      <c r="AL10" s="817"/>
      <c r="AM10" s="804"/>
      <c r="AN10" s="804"/>
      <c r="BE10" s="804">
        <v>2015</v>
      </c>
      <c r="BF10" s="817"/>
      <c r="BG10" s="804"/>
      <c r="BH10" s="817"/>
      <c r="BI10" s="804"/>
      <c r="BJ10" s="804"/>
    </row>
    <row r="11" spans="1:62" s="48" customFormat="1" x14ac:dyDescent="0.25">
      <c r="A11" s="797" t="s">
        <v>14</v>
      </c>
      <c r="B11" s="805">
        <f t="shared" ref="B11:G11" si="0">B12+B13+B16+B22+B27+B32+B36</f>
        <v>291365</v>
      </c>
      <c r="C11" s="806">
        <f t="shared" si="0"/>
        <v>4370835000</v>
      </c>
      <c r="D11" s="805">
        <f t="shared" si="0"/>
        <v>292161</v>
      </c>
      <c r="E11" s="806">
        <f t="shared" si="0"/>
        <v>2812238100</v>
      </c>
      <c r="F11" s="805">
        <f t="shared" si="0"/>
        <v>294833</v>
      </c>
      <c r="G11" s="806">
        <f t="shared" si="0"/>
        <v>4422495000</v>
      </c>
      <c r="H11" s="805">
        <f t="shared" ref="H11" si="1">H12+H13+H16+H22+H27+H32+H36</f>
        <v>28034</v>
      </c>
      <c r="I11" s="798">
        <f t="shared" ref="I11" si="2">I12+I13+I16+I22+I27+I32+I36</f>
        <v>280340000</v>
      </c>
      <c r="J11" s="805">
        <f t="shared" ref="J11" si="3">J12+J13+J16+J22+J27+J32+J36</f>
        <v>10860</v>
      </c>
      <c r="K11" s="798">
        <f t="shared" ref="K11" si="4">K12+K13+K16+K22+K27+K32+K36</f>
        <v>65188685</v>
      </c>
      <c r="L11" s="805">
        <f t="shared" ref="L11" si="5">L12+L13+L16+L22+L27+L32+L36</f>
        <v>31378</v>
      </c>
      <c r="M11" s="806">
        <f t="shared" ref="M11" si="6">M12+M13+M16+M22+M27+M32+M36</f>
        <v>313780000</v>
      </c>
      <c r="N11" s="805">
        <f t="shared" ref="N11" si="7">N12+N13+N16+N22+N27+N32+N36</f>
        <v>161700</v>
      </c>
      <c r="O11" s="798">
        <f t="shared" ref="O11" si="8">O12+O13+O16+O22+O27+O32+O36</f>
        <v>252252000</v>
      </c>
      <c r="P11" s="805">
        <f t="shared" ref="P11" si="9">P12+P13+P16+P22+P27+P32+P36</f>
        <v>137914</v>
      </c>
      <c r="Q11" s="798">
        <f t="shared" ref="Q11" si="10">Q12+Q13+Q16+Q22+Q27+Q32+Q36</f>
        <v>157778244</v>
      </c>
      <c r="R11" s="805">
        <f t="shared" ref="R11" si="11">R12+R13+R16+R22+R27+R32+R36</f>
        <v>161700</v>
      </c>
      <c r="S11" s="806">
        <f t="shared" ref="S11" si="12">S12+S13+S16+S22+S27+S32+S36</f>
        <v>291060000</v>
      </c>
      <c r="T11" s="805">
        <f t="shared" ref="T11" si="13">T12+T13+T16+T22+T27+T32+T36</f>
        <v>49778</v>
      </c>
      <c r="U11" s="798">
        <f t="shared" ref="U11" si="14">U12+U13+U16+U22+U27+U32+U36</f>
        <v>298668000</v>
      </c>
      <c r="V11" s="805">
        <f t="shared" ref="V11" si="15">V12+V13+V16+V22+V27+V32+V36</f>
        <v>78910</v>
      </c>
      <c r="W11" s="798">
        <f t="shared" ref="W11" si="16">W12+W13+W16+W22+W27+W32+W36</f>
        <v>463371000</v>
      </c>
      <c r="X11" s="805">
        <f t="shared" ref="X11" si="17">X12+X13+X16+X22+X27+X32+X36</f>
        <v>62419</v>
      </c>
      <c r="Y11" s="806">
        <f>Y12+Y13+Y16+Y22+Y27+Y32+Y36</f>
        <v>374514000</v>
      </c>
      <c r="Z11" s="805">
        <f t="shared" ref="Z11" si="18">Z12+Z13+Z16+Z22+Z27+Z32+Z36</f>
        <v>257</v>
      </c>
      <c r="AA11" s="798">
        <f t="shared" ref="AA11" si="19">AA12+AA13+AA16+AA22+AA27+AA32+AA36</f>
        <v>344674004.31</v>
      </c>
      <c r="AB11" s="805">
        <f t="shared" ref="AB11" si="20">AB12+AB13+AB16+AB22+AB27+AB32+AB36</f>
        <v>0</v>
      </c>
      <c r="AC11" s="798">
        <f t="shared" ref="AC11" si="21">AC12+AC13+AC16+AC22+AC27+AC32+AC36</f>
        <v>0</v>
      </c>
      <c r="AD11" s="805">
        <f t="shared" ref="AD11" si="22">AD12+AD13+AD16+AD22+AD27+AD32+AD36</f>
        <v>249</v>
      </c>
      <c r="AE11" s="806">
        <f t="shared" ref="AE11" si="23">AE12+AE13+AE16+AE22+AE27+AE32+AE36</f>
        <v>220067563.22</v>
      </c>
      <c r="AF11" s="805">
        <f t="shared" ref="AF11" si="24">AF12+AF13+AF16+AF22+AF27+AF32+AF36</f>
        <v>0</v>
      </c>
      <c r="AG11" s="798">
        <f t="shared" ref="AG11" si="25">AG12+AG13+AG16+AG22+AG27+AG32+AG36</f>
        <v>177558500</v>
      </c>
      <c r="AH11" s="805">
        <f t="shared" ref="AH11" si="26">AH12+AH13+AH16+AH22+AH27+AH32+AH36</f>
        <v>45131</v>
      </c>
      <c r="AI11" s="798">
        <f t="shared" ref="AI11" si="27">AI12+AI13+AI16+AI22+AI27+AI32+AI36</f>
        <v>144656949</v>
      </c>
      <c r="AJ11" s="805">
        <f t="shared" ref="AJ11" si="28">AJ12+AJ13+AJ16+AJ22+AJ27+AJ32+AJ36</f>
        <v>0</v>
      </c>
      <c r="AK11" s="806">
        <f t="shared" ref="AK11" si="29">AK12+AK13+AK16+AK22+AK27+AK32+AK36</f>
        <v>0</v>
      </c>
      <c r="AL11" s="798">
        <f t="shared" ref="AL11" si="30">AL12+AL13+AL16+AL22+AL27+AL32+AL36</f>
        <v>5546769004.3099995</v>
      </c>
      <c r="AM11" s="798">
        <f t="shared" ref="AM11" si="31">AM12+AM13+AM16+AM22+AM27+AM32+AM36</f>
        <v>3498576029</v>
      </c>
      <c r="AN11" s="806">
        <f t="shared" ref="AN11" si="32">AN12+AN13+AN16+AN22+AN27+AN32+AN36</f>
        <v>5621916563.2200003</v>
      </c>
      <c r="BE11" s="805">
        <f t="shared" ref="BE11" si="33">BE12+BE13+BE16+BE22+BE27+BE32+BE36</f>
        <v>0</v>
      </c>
      <c r="BF11" s="798">
        <f t="shared" ref="BF11" si="34">BF12+BF13+BF16+BF22+BF27+BF32+BF36</f>
        <v>0</v>
      </c>
      <c r="BG11" s="805">
        <f t="shared" ref="BG11" si="35">BG12+BG13+BG16+BG22+BG27+BG32+BG36</f>
        <v>78</v>
      </c>
      <c r="BH11" s="798">
        <f t="shared" ref="BH11" si="36">BH12+BH13+BH16+BH22+BH27+BH32+BH36</f>
        <v>276799</v>
      </c>
      <c r="BI11" s="805">
        <f t="shared" ref="BI11" si="37">BI12+BI13+BI16+BI22+BI27+BI32+BI36</f>
        <v>0</v>
      </c>
      <c r="BJ11" s="806">
        <f t="shared" ref="BJ11" si="38">BJ12+BJ13+BJ16+BJ22+BJ27+BJ32+BJ36</f>
        <v>0</v>
      </c>
    </row>
    <row r="12" spans="1:62" s="48" customFormat="1" x14ac:dyDescent="0.25">
      <c r="A12" s="807" t="s">
        <v>294</v>
      </c>
      <c r="B12" s="808">
        <v>8265</v>
      </c>
      <c r="C12" s="809">
        <v>123975000</v>
      </c>
      <c r="D12" s="808">
        <v>8231</v>
      </c>
      <c r="E12" s="809">
        <v>20178500</v>
      </c>
      <c r="F12" s="808">
        <v>8680</v>
      </c>
      <c r="G12" s="809">
        <v>130200000</v>
      </c>
      <c r="H12" s="808">
        <f>'Aurora_Lone District'!F11</f>
        <v>1016</v>
      </c>
      <c r="I12" s="809">
        <f>'Aurora_Lone District'!G11</f>
        <v>10160000</v>
      </c>
      <c r="J12" s="808">
        <f>'Aurora_Lone District'!H11</f>
        <v>273</v>
      </c>
      <c r="K12" s="809">
        <f>'Aurora_Lone District'!I11</f>
        <v>1437000</v>
      </c>
      <c r="L12" s="808">
        <v>1255</v>
      </c>
      <c r="M12" s="809">
        <v>12551200</v>
      </c>
      <c r="N12" s="808">
        <f>'Aurora_Lone District'!J11</f>
        <v>6175</v>
      </c>
      <c r="O12" s="809">
        <f>'Aurora_Lone District'!K11</f>
        <v>9633000</v>
      </c>
      <c r="P12" s="808">
        <f>'Aurora_Lone District'!L11</f>
        <v>5079</v>
      </c>
      <c r="Q12" s="809">
        <f>'Aurora_Lone District'!M11</f>
        <v>2104388</v>
      </c>
      <c r="R12" s="808">
        <v>6684</v>
      </c>
      <c r="S12" s="809">
        <v>12031200</v>
      </c>
      <c r="T12" s="808">
        <f>'Aurora_Lone District'!B24</f>
        <v>2386</v>
      </c>
      <c r="U12" s="809">
        <f>'Aurora_Lone District'!C24</f>
        <v>14316000</v>
      </c>
      <c r="V12" s="808">
        <f>'Aurora_Lone District'!D24</f>
        <v>2852</v>
      </c>
      <c r="W12" s="809">
        <f>'Aurora_Lone District'!E24</f>
        <v>17112000</v>
      </c>
      <c r="X12" s="808">
        <v>3314</v>
      </c>
      <c r="Y12" s="809">
        <f>X12*6000</f>
        <v>19884000</v>
      </c>
      <c r="Z12" s="808">
        <f>'Aurora_Lone District'!F24</f>
        <v>23</v>
      </c>
      <c r="AA12" s="809">
        <f>'Aurora_Lone District'!G24</f>
        <v>18954150</v>
      </c>
      <c r="AB12" s="808">
        <f>'Aurora_Lone District'!H24</f>
        <v>0</v>
      </c>
      <c r="AC12" s="809">
        <f>'Aurora_Lone District'!I24</f>
        <v>0</v>
      </c>
      <c r="AD12" s="808">
        <v>20</v>
      </c>
      <c r="AE12" s="809">
        <v>12532085</v>
      </c>
      <c r="AF12" s="808"/>
      <c r="AG12" s="809">
        <v>1940000</v>
      </c>
      <c r="AH12" s="808">
        <f>'Aurora_Lone District'!L24</f>
        <v>1575</v>
      </c>
      <c r="AI12" s="809">
        <f>'Aurora_Lone District'!M24</f>
        <v>4742000</v>
      </c>
      <c r="AJ12" s="808"/>
      <c r="AK12" s="809"/>
      <c r="AL12" s="809">
        <f>C12+I12+O12+U12+AA12</f>
        <v>177038150</v>
      </c>
      <c r="AM12" s="809">
        <f>E12+K12+Q12+W12+AC12</f>
        <v>40831888</v>
      </c>
      <c r="AN12" s="809">
        <f>G12+M12+S12+Y12+AE12</f>
        <v>187198485</v>
      </c>
      <c r="BE12" s="808"/>
      <c r="BF12" s="809"/>
      <c r="BG12" s="808">
        <f>'Aurora_Lone District'!D38</f>
        <v>2</v>
      </c>
      <c r="BH12" s="809">
        <f>'Aurora_Lone District'!E38</f>
        <v>8000</v>
      </c>
      <c r="BI12" s="808"/>
      <c r="BJ12" s="809"/>
    </row>
    <row r="13" spans="1:62" x14ac:dyDescent="0.25">
      <c r="A13" s="810" t="s">
        <v>295</v>
      </c>
      <c r="B13" s="811">
        <f>B14+B15</f>
        <v>16108</v>
      </c>
      <c r="C13" s="812">
        <f>C14+C15</f>
        <v>241980000</v>
      </c>
      <c r="D13" s="811">
        <f>D14+D15</f>
        <v>17723</v>
      </c>
      <c r="E13" s="812">
        <f>E14+E15</f>
        <v>39599400</v>
      </c>
      <c r="F13" s="811">
        <f>F14+F15</f>
        <v>16220</v>
      </c>
      <c r="G13" s="812">
        <f t="shared" ref="G13:M13" si="39">G14+G15</f>
        <v>243300000</v>
      </c>
      <c r="H13" s="811">
        <f t="shared" si="39"/>
        <v>1241</v>
      </c>
      <c r="I13" s="812">
        <f t="shared" si="39"/>
        <v>12410000</v>
      </c>
      <c r="J13" s="811">
        <f t="shared" ref="J13:K13" si="40">J14+J15</f>
        <v>887</v>
      </c>
      <c r="K13" s="812">
        <f t="shared" si="40"/>
        <v>5672490</v>
      </c>
      <c r="L13" s="811">
        <f t="shared" si="39"/>
        <v>1883</v>
      </c>
      <c r="M13" s="812">
        <f t="shared" si="39"/>
        <v>18826800</v>
      </c>
      <c r="N13" s="811">
        <f t="shared" ref="N13:S13" si="41">N14+N15</f>
        <v>11875</v>
      </c>
      <c r="O13" s="812">
        <f t="shared" si="41"/>
        <v>18525000</v>
      </c>
      <c r="P13" s="811">
        <f t="shared" ref="P13:Q13" si="42">P14+P15</f>
        <v>11025</v>
      </c>
      <c r="Q13" s="812">
        <f t="shared" si="42"/>
        <v>16005653</v>
      </c>
      <c r="R13" s="811">
        <f t="shared" si="41"/>
        <v>12025</v>
      </c>
      <c r="S13" s="812">
        <f t="shared" si="41"/>
        <v>21645000</v>
      </c>
      <c r="T13" s="811">
        <f t="shared" ref="T13:Y13" si="43">T14+T15</f>
        <v>3890</v>
      </c>
      <c r="U13" s="812">
        <f t="shared" si="43"/>
        <v>23340000</v>
      </c>
      <c r="V13" s="811">
        <f t="shared" ref="V13:W13" si="44">V14+V15</f>
        <v>5155</v>
      </c>
      <c r="W13" s="812">
        <f t="shared" si="44"/>
        <v>30930000</v>
      </c>
      <c r="X13" s="811">
        <f t="shared" si="43"/>
        <v>5282</v>
      </c>
      <c r="Y13" s="812">
        <f t="shared" si="43"/>
        <v>31692000</v>
      </c>
      <c r="Z13" s="811">
        <f t="shared" ref="Z13:AA13" si="45">Z14+Z15</f>
        <v>30</v>
      </c>
      <c r="AA13" s="812">
        <f t="shared" si="45"/>
        <v>36678511</v>
      </c>
      <c r="AB13" s="811">
        <f t="shared" ref="AB13:AC13" si="46">AB14+AB15</f>
        <v>0</v>
      </c>
      <c r="AC13" s="812">
        <f t="shared" si="46"/>
        <v>0</v>
      </c>
      <c r="AD13" s="811">
        <f t="shared" ref="AD13:AN13" si="47">AD14+AD15</f>
        <v>22</v>
      </c>
      <c r="AE13" s="812">
        <f t="shared" si="47"/>
        <v>21989200</v>
      </c>
      <c r="AF13" s="811">
        <f t="shared" si="47"/>
        <v>0</v>
      </c>
      <c r="AG13" s="812">
        <f t="shared" si="47"/>
        <v>6790000</v>
      </c>
      <c r="AH13" s="811">
        <f t="shared" si="47"/>
        <v>5372</v>
      </c>
      <c r="AI13" s="812">
        <f t="shared" si="47"/>
        <v>21387000</v>
      </c>
      <c r="AJ13" s="811">
        <f t="shared" ref="AJ13:AK13" si="48">AJ14+AJ15</f>
        <v>0</v>
      </c>
      <c r="AK13" s="812">
        <f t="shared" si="48"/>
        <v>0</v>
      </c>
      <c r="AL13" s="812">
        <f t="shared" si="47"/>
        <v>332933511</v>
      </c>
      <c r="AM13" s="812">
        <f t="shared" si="47"/>
        <v>92207543</v>
      </c>
      <c r="AN13" s="812">
        <f t="shared" si="47"/>
        <v>337453000</v>
      </c>
      <c r="BE13" s="811">
        <f t="shared" ref="BE13:BJ13" si="49">BE14+BE15</f>
        <v>0</v>
      </c>
      <c r="BF13" s="812">
        <f t="shared" si="49"/>
        <v>0</v>
      </c>
      <c r="BG13" s="811">
        <f t="shared" si="49"/>
        <v>2</v>
      </c>
      <c r="BH13" s="812">
        <f t="shared" si="49"/>
        <v>10000</v>
      </c>
      <c r="BI13" s="811">
        <f t="shared" si="49"/>
        <v>0</v>
      </c>
      <c r="BJ13" s="812">
        <f t="shared" si="49"/>
        <v>0</v>
      </c>
    </row>
    <row r="14" spans="1:62" x14ac:dyDescent="0.25">
      <c r="A14" s="813" t="s">
        <v>278</v>
      </c>
      <c r="B14" s="614">
        <v>9032</v>
      </c>
      <c r="C14" s="616">
        <v>135840000</v>
      </c>
      <c r="D14" s="614">
        <v>9657</v>
      </c>
      <c r="E14" s="616">
        <v>21628800</v>
      </c>
      <c r="F14" s="614">
        <v>9099</v>
      </c>
      <c r="G14" s="616">
        <v>136485000</v>
      </c>
      <c r="H14" s="614">
        <f>Bat_1st!F11</f>
        <v>601</v>
      </c>
      <c r="I14" s="616">
        <f>Bat_1st!G11</f>
        <v>6010000</v>
      </c>
      <c r="J14" s="614">
        <f>Bat_1st!H11</f>
        <v>372</v>
      </c>
      <c r="K14" s="616">
        <f>Bat_1st!I11</f>
        <v>2162490</v>
      </c>
      <c r="L14" s="614">
        <v>659</v>
      </c>
      <c r="M14" s="616">
        <v>6589380</v>
      </c>
      <c r="N14" s="614">
        <f>Bat_1st!J11</f>
        <v>5875</v>
      </c>
      <c r="O14" s="616">
        <f>Bat_1st!K11</f>
        <v>9165000</v>
      </c>
      <c r="P14" s="614">
        <f>Bat_1st!L11</f>
        <v>5871</v>
      </c>
      <c r="Q14" s="616">
        <f>Bat_1st!M11</f>
        <v>6187623</v>
      </c>
      <c r="R14" s="614">
        <v>5816</v>
      </c>
      <c r="S14" s="616">
        <v>10468800</v>
      </c>
      <c r="T14" s="614">
        <f>Bat_1st!B22</f>
        <v>2021</v>
      </c>
      <c r="U14" s="616">
        <f>Bat_1st!C22</f>
        <v>12126000</v>
      </c>
      <c r="V14" s="614">
        <f>Bat_1st!D22</f>
        <v>2596</v>
      </c>
      <c r="W14" s="616">
        <f>Bat_1st!E22</f>
        <v>15576000</v>
      </c>
      <c r="X14" s="614">
        <v>2717</v>
      </c>
      <c r="Y14" s="616">
        <f>X14*6000</f>
        <v>16302000</v>
      </c>
      <c r="Z14" s="614">
        <f>Bat_1st!F22</f>
        <v>15</v>
      </c>
      <c r="AA14" s="616">
        <f>Bat_1st!G22</f>
        <v>21205280</v>
      </c>
      <c r="AB14" s="614">
        <f>Bat_1st!H22</f>
        <v>0</v>
      </c>
      <c r="AC14" s="616">
        <f>Bat_1st!I22</f>
        <v>0</v>
      </c>
      <c r="AD14" s="614">
        <v>9</v>
      </c>
      <c r="AE14" s="616">
        <v>10450000</v>
      </c>
      <c r="AF14" s="614"/>
      <c r="AG14" s="616">
        <v>6790000</v>
      </c>
      <c r="AH14" s="614">
        <f>Bat_1st!L22</f>
        <v>3517</v>
      </c>
      <c r="AI14" s="616">
        <f>Bat_1st!M22</f>
        <v>13873000</v>
      </c>
      <c r="AJ14" s="614"/>
      <c r="AK14" s="616"/>
      <c r="AL14" s="818">
        <f>C14+I14+O14+U14+AA14</f>
        <v>184346280</v>
      </c>
      <c r="AM14" s="818">
        <f>E14+K14+Q14+W14+AC14</f>
        <v>45554913</v>
      </c>
      <c r="AN14" s="818">
        <f>G14+M14+S14+Y14+AE14</f>
        <v>180295180</v>
      </c>
      <c r="BE14" s="614"/>
      <c r="BF14" s="616"/>
      <c r="BG14" s="614">
        <f>Bat_1st!D33</f>
        <v>2</v>
      </c>
      <c r="BH14" s="616">
        <f>Bat_1st!E33</f>
        <v>10000</v>
      </c>
      <c r="BI14" s="614"/>
      <c r="BJ14" s="616"/>
    </row>
    <row r="15" spans="1:62" x14ac:dyDescent="0.25">
      <c r="A15" s="813" t="s">
        <v>397</v>
      </c>
      <c r="B15" s="614">
        <v>7076</v>
      </c>
      <c r="C15" s="616">
        <v>106140000</v>
      </c>
      <c r="D15" s="614">
        <v>8066</v>
      </c>
      <c r="E15" s="616">
        <v>17970600</v>
      </c>
      <c r="F15" s="614">
        <v>7121</v>
      </c>
      <c r="G15" s="616">
        <v>106815000</v>
      </c>
      <c r="H15" s="614">
        <f>Bul_2nd!F12</f>
        <v>640</v>
      </c>
      <c r="I15" s="616">
        <f>Bul_2nd!G12</f>
        <v>6400000</v>
      </c>
      <c r="J15" s="614">
        <f>Bul_2nd!H12</f>
        <v>515</v>
      </c>
      <c r="K15" s="616">
        <f>Bul_2nd!I12</f>
        <v>3510000</v>
      </c>
      <c r="L15" s="614">
        <v>1224</v>
      </c>
      <c r="M15" s="616">
        <v>12237420</v>
      </c>
      <c r="N15" s="614">
        <f>Bat_2nd!J12</f>
        <v>6000</v>
      </c>
      <c r="O15" s="616">
        <f>Bat_2nd!K12</f>
        <v>9360000</v>
      </c>
      <c r="P15" s="614">
        <f>Bat_2nd!L12</f>
        <v>5154</v>
      </c>
      <c r="Q15" s="616">
        <f>Bat_2nd!M12</f>
        <v>9818030</v>
      </c>
      <c r="R15" s="614">
        <v>6209</v>
      </c>
      <c r="S15" s="616">
        <v>11176200</v>
      </c>
      <c r="T15" s="614">
        <f>Bat_2nd!B24</f>
        <v>1869</v>
      </c>
      <c r="U15" s="616">
        <f>Bat_2nd!C24</f>
        <v>11214000</v>
      </c>
      <c r="V15" s="614">
        <f>Bat_2nd!D24</f>
        <v>2559</v>
      </c>
      <c r="W15" s="616">
        <f>Bat_2nd!E24</f>
        <v>15354000</v>
      </c>
      <c r="X15" s="614">
        <v>2565</v>
      </c>
      <c r="Y15" s="616">
        <f>X15*6000</f>
        <v>15390000</v>
      </c>
      <c r="Z15" s="614">
        <f>Bat_2nd!F24</f>
        <v>15</v>
      </c>
      <c r="AA15" s="616">
        <f>Bat_2nd!G24</f>
        <v>15473231</v>
      </c>
      <c r="AB15" s="614">
        <f>Bat_2nd!H24</f>
        <v>0</v>
      </c>
      <c r="AC15" s="616">
        <f>Bat_2nd!I24</f>
        <v>0</v>
      </c>
      <c r="AD15" s="614">
        <v>13</v>
      </c>
      <c r="AE15" s="616">
        <v>11539200</v>
      </c>
      <c r="AF15" s="614"/>
      <c r="AG15" s="616"/>
      <c r="AH15" s="614">
        <f>Bat_2nd!L24</f>
        <v>1855</v>
      </c>
      <c r="AI15" s="616">
        <f>Bat_2nd!M24</f>
        <v>7514000</v>
      </c>
      <c r="AJ15" s="614"/>
      <c r="AK15" s="616"/>
      <c r="AL15" s="818">
        <f>C15+I15+O15+U15+AA15</f>
        <v>148587231</v>
      </c>
      <c r="AM15" s="818">
        <f>E15+K15+Q15+W15+AC15</f>
        <v>46652630</v>
      </c>
      <c r="AN15" s="818">
        <f>G15+M15+S15+Y15+AE15</f>
        <v>157157820</v>
      </c>
      <c r="BE15" s="614"/>
      <c r="BF15" s="616"/>
      <c r="BG15" s="614">
        <f>Bat_2nd!D36</f>
        <v>0</v>
      </c>
      <c r="BH15" s="616">
        <f>Bat_2nd!AL24</f>
        <v>0</v>
      </c>
      <c r="BI15" s="614"/>
      <c r="BJ15" s="616"/>
    </row>
    <row r="16" spans="1:62" s="48" customFormat="1" x14ac:dyDescent="0.25">
      <c r="A16" s="807" t="s">
        <v>296</v>
      </c>
      <c r="B16" s="808">
        <f>B17+B18+B19+B20+B21</f>
        <v>67678</v>
      </c>
      <c r="C16" s="809">
        <f>SUM(C17:C21)</f>
        <v>1015170000</v>
      </c>
      <c r="D16" s="808">
        <f>D17+D18+D19+D20+D21</f>
        <v>69012</v>
      </c>
      <c r="E16" s="809">
        <f>SUM(E17:E21)</f>
        <v>724220700</v>
      </c>
      <c r="F16" s="808">
        <f>F17+F18+F19+F20+F21</f>
        <v>67678</v>
      </c>
      <c r="G16" s="809">
        <f t="shared" ref="G16:M16" si="50">SUM(G17:G21)</f>
        <v>1015170000</v>
      </c>
      <c r="H16" s="808">
        <f t="shared" si="50"/>
        <v>6682</v>
      </c>
      <c r="I16" s="809">
        <f t="shared" si="50"/>
        <v>66820000</v>
      </c>
      <c r="J16" s="808">
        <f t="shared" ref="J16:K16" si="51">SUM(J17:J21)</f>
        <v>2395</v>
      </c>
      <c r="K16" s="809">
        <f t="shared" si="51"/>
        <v>17203000</v>
      </c>
      <c r="L16" s="808">
        <f t="shared" si="50"/>
        <v>7217</v>
      </c>
      <c r="M16" s="809">
        <f t="shared" si="50"/>
        <v>72169400</v>
      </c>
      <c r="N16" s="808">
        <f t="shared" ref="N16:S16" si="52">SUM(N17:N21)</f>
        <v>42700</v>
      </c>
      <c r="O16" s="809">
        <f t="shared" si="52"/>
        <v>66612000</v>
      </c>
      <c r="P16" s="808">
        <f t="shared" ref="P16:Q16" si="53">SUM(P17:P21)</f>
        <v>32973</v>
      </c>
      <c r="Q16" s="809">
        <f t="shared" si="53"/>
        <v>56389860</v>
      </c>
      <c r="R16" s="808">
        <f t="shared" si="52"/>
        <v>39736</v>
      </c>
      <c r="S16" s="809">
        <f t="shared" si="52"/>
        <v>71524800</v>
      </c>
      <c r="T16" s="808">
        <f t="shared" ref="T16:Y16" si="54">SUM(T17:T21)</f>
        <v>9707</v>
      </c>
      <c r="U16" s="809">
        <f t="shared" si="54"/>
        <v>58242000</v>
      </c>
      <c r="V16" s="808">
        <f t="shared" ref="V16:W16" si="55">SUM(V17:V21)</f>
        <v>13240</v>
      </c>
      <c r="W16" s="809">
        <f t="shared" si="55"/>
        <v>79440000</v>
      </c>
      <c r="X16" s="808">
        <f t="shared" si="54"/>
        <v>11551</v>
      </c>
      <c r="Y16" s="809">
        <f t="shared" si="54"/>
        <v>69306000</v>
      </c>
      <c r="Z16" s="808">
        <f t="shared" ref="Z16:AA16" si="56">SUM(Z17:Z21)</f>
        <v>51</v>
      </c>
      <c r="AA16" s="809">
        <f t="shared" si="56"/>
        <v>85342285.700000003</v>
      </c>
      <c r="AB16" s="808">
        <f t="shared" ref="AB16:AC16" si="57">SUM(AB17:AB21)</f>
        <v>0</v>
      </c>
      <c r="AC16" s="809">
        <f t="shared" si="57"/>
        <v>0</v>
      </c>
      <c r="AD16" s="808">
        <f t="shared" ref="AD16:AM16" si="58">SUM(AD17:AD21)</f>
        <v>71</v>
      </c>
      <c r="AE16" s="809">
        <f t="shared" si="58"/>
        <v>63021025</v>
      </c>
      <c r="AF16" s="808">
        <f t="shared" si="58"/>
        <v>0</v>
      </c>
      <c r="AG16" s="809">
        <f t="shared" si="58"/>
        <v>49955000</v>
      </c>
      <c r="AH16" s="808">
        <f t="shared" si="58"/>
        <v>14661</v>
      </c>
      <c r="AI16" s="809">
        <f t="shared" si="58"/>
        <v>43817700</v>
      </c>
      <c r="AJ16" s="808">
        <f t="shared" ref="AJ16:AK16" si="59">SUM(AJ17:AJ21)</f>
        <v>0</v>
      </c>
      <c r="AK16" s="809">
        <f t="shared" si="59"/>
        <v>0</v>
      </c>
      <c r="AL16" s="809">
        <f t="shared" si="58"/>
        <v>1292186285.7</v>
      </c>
      <c r="AM16" s="809">
        <f t="shared" si="58"/>
        <v>877253560</v>
      </c>
      <c r="AN16" s="809">
        <f t="shared" ref="AN16" si="60">SUM(AN17:AN21)</f>
        <v>1291191225</v>
      </c>
      <c r="BE16" s="808">
        <f t="shared" ref="BE16:BJ16" si="61">SUM(BE17:BE21)</f>
        <v>0</v>
      </c>
      <c r="BF16" s="809">
        <f t="shared" si="61"/>
        <v>0</v>
      </c>
      <c r="BG16" s="808">
        <f t="shared" si="61"/>
        <v>12</v>
      </c>
      <c r="BH16" s="809">
        <f t="shared" si="61"/>
        <v>31100</v>
      </c>
      <c r="BI16" s="808">
        <f t="shared" si="61"/>
        <v>0</v>
      </c>
      <c r="BJ16" s="809">
        <f t="shared" si="61"/>
        <v>0</v>
      </c>
    </row>
    <row r="17" spans="1:62" x14ac:dyDescent="0.25">
      <c r="A17" s="813" t="s">
        <v>278</v>
      </c>
      <c r="B17" s="614">
        <v>12900</v>
      </c>
      <c r="C17" s="616">
        <v>193500000</v>
      </c>
      <c r="D17" s="614">
        <f>'Bul_1st '!D12</f>
        <v>14294</v>
      </c>
      <c r="E17" s="616">
        <f>'Bul_1st '!E12</f>
        <v>147645300</v>
      </c>
      <c r="F17" s="614">
        <v>12900</v>
      </c>
      <c r="G17" s="616">
        <v>193500000</v>
      </c>
      <c r="H17" s="614">
        <f>'Bul_1st '!F12</f>
        <v>2009</v>
      </c>
      <c r="I17" s="616">
        <f>'Bul_1st '!G12</f>
        <v>20090000</v>
      </c>
      <c r="J17" s="614">
        <f>'Bul_1st '!H12</f>
        <v>357</v>
      </c>
      <c r="K17" s="616">
        <f>'Bul_1st '!I12</f>
        <v>2095000</v>
      </c>
      <c r="L17" s="614">
        <v>2165</v>
      </c>
      <c r="M17" s="616">
        <v>21650820</v>
      </c>
      <c r="N17" s="614">
        <f>'Bul_1st '!J12</f>
        <v>9000</v>
      </c>
      <c r="O17" s="616">
        <f>'Bul_1st '!K12</f>
        <v>14040000</v>
      </c>
      <c r="P17" s="614">
        <f>'Bul_1st '!L12</f>
        <v>9807</v>
      </c>
      <c r="Q17" s="616">
        <f>'Bul_1st '!M12</f>
        <v>11135494</v>
      </c>
      <c r="R17" s="614">
        <v>9928</v>
      </c>
      <c r="S17" s="616">
        <v>17870400</v>
      </c>
      <c r="T17" s="614">
        <f>'Bul_1st '!B23</f>
        <v>2178</v>
      </c>
      <c r="U17" s="616">
        <f>'Bul_1st '!C23</f>
        <v>13068000</v>
      </c>
      <c r="V17" s="614">
        <f>'Bul_1st '!D23</f>
        <v>3301</v>
      </c>
      <c r="W17" s="616">
        <f>'Bul_1st '!E23</f>
        <v>19806000</v>
      </c>
      <c r="X17" s="614">
        <v>2874</v>
      </c>
      <c r="Y17" s="616">
        <f t="shared" ref="Y17:Y21" si="62">X17*6000</f>
        <v>17244000</v>
      </c>
      <c r="Z17" s="614">
        <f>'Bul_1st '!F23</f>
        <v>12</v>
      </c>
      <c r="AA17" s="616">
        <f>'Bul_1st '!G23</f>
        <v>19434285.699999999</v>
      </c>
      <c r="AB17" s="614">
        <f>'Bul_1st '!H23</f>
        <v>0</v>
      </c>
      <c r="AC17" s="616">
        <f>'Bul_1st '!I23</f>
        <v>0</v>
      </c>
      <c r="AD17" s="614">
        <v>31</v>
      </c>
      <c r="AE17" s="616">
        <v>16756640</v>
      </c>
      <c r="AF17" s="614"/>
      <c r="AG17" s="616">
        <v>9700000</v>
      </c>
      <c r="AH17" s="614">
        <f>'Bul_1st '!L23</f>
        <v>2973</v>
      </c>
      <c r="AI17" s="616">
        <f>'Bul_1st '!M23</f>
        <v>9862200</v>
      </c>
      <c r="AJ17" s="614"/>
      <c r="AK17" s="616"/>
      <c r="AL17" s="818">
        <f>C17+I17+O17+U17+AA17</f>
        <v>260132285.69999999</v>
      </c>
      <c r="AM17" s="818">
        <f>E17+K17+Q17+W17+AC17</f>
        <v>180681794</v>
      </c>
      <c r="AN17" s="818">
        <f>G17+M17+S17+Y17+AE17</f>
        <v>267021860</v>
      </c>
      <c r="BE17" s="614"/>
      <c r="BF17" s="616"/>
      <c r="BG17" s="614">
        <f>'Bul_1st '!D34</f>
        <v>1</v>
      </c>
      <c r="BH17" s="616">
        <f>'Bul_1st '!E34</f>
        <v>100</v>
      </c>
      <c r="BI17" s="614"/>
      <c r="BJ17" s="616"/>
    </row>
    <row r="18" spans="1:62" x14ac:dyDescent="0.25">
      <c r="A18" s="813" t="s">
        <v>397</v>
      </c>
      <c r="B18" s="614">
        <v>11742</v>
      </c>
      <c r="C18" s="616">
        <v>176130000</v>
      </c>
      <c r="D18" s="614">
        <f>Bul_2nd!D12</f>
        <v>12133</v>
      </c>
      <c r="E18" s="616">
        <f>Bul_2nd!E12</f>
        <v>128193100</v>
      </c>
      <c r="F18" s="614">
        <v>11742</v>
      </c>
      <c r="G18" s="616">
        <v>176130000</v>
      </c>
      <c r="H18" s="614">
        <f>Bul_2nd!F12</f>
        <v>640</v>
      </c>
      <c r="I18" s="616">
        <f>Bul_2nd!G12</f>
        <v>6400000</v>
      </c>
      <c r="J18" s="614">
        <f>Bul_2nd!H12</f>
        <v>515</v>
      </c>
      <c r="K18" s="616">
        <f>Bul_2nd!I12</f>
        <v>3510000</v>
      </c>
      <c r="L18" s="614">
        <v>722</v>
      </c>
      <c r="M18" s="616">
        <v>7216940</v>
      </c>
      <c r="N18" s="614">
        <f>Bul_2nd!J12</f>
        <v>12134</v>
      </c>
      <c r="O18" s="616">
        <f>Bul_2nd!K12</f>
        <v>18929040</v>
      </c>
      <c r="P18" s="614">
        <f>Bul_2nd!L12</f>
        <v>6309</v>
      </c>
      <c r="Q18" s="616">
        <f>Bul_2nd!M12</f>
        <v>28549299</v>
      </c>
      <c r="R18" s="614">
        <v>12628</v>
      </c>
      <c r="S18" s="616">
        <v>22730400</v>
      </c>
      <c r="T18" s="614">
        <f>Bul_2nd!B24</f>
        <v>2446</v>
      </c>
      <c r="U18" s="616">
        <f>Bul_2nd!C24</f>
        <v>14676000</v>
      </c>
      <c r="V18" s="614">
        <f>Bul_2nd!D24</f>
        <v>2943</v>
      </c>
      <c r="W18" s="616">
        <f>Bul_2nd!E24</f>
        <v>17658000</v>
      </c>
      <c r="X18" s="614">
        <v>3258</v>
      </c>
      <c r="Y18" s="616">
        <f t="shared" si="62"/>
        <v>19548000</v>
      </c>
      <c r="Z18" s="614">
        <f>Bul_2nd!F24</f>
        <v>18</v>
      </c>
      <c r="AA18" s="616">
        <f>Bul_2nd!G24</f>
        <v>25833600</v>
      </c>
      <c r="AB18" s="614">
        <f>Bul_2nd!H24</f>
        <v>0</v>
      </c>
      <c r="AC18" s="616">
        <f>Bul_2nd!I24</f>
        <v>0</v>
      </c>
      <c r="AD18" s="614">
        <v>15</v>
      </c>
      <c r="AE18" s="616">
        <v>8616000</v>
      </c>
      <c r="AF18" s="614"/>
      <c r="AG18" s="616">
        <v>19400000</v>
      </c>
      <c r="AH18" s="614">
        <f>Bul_2nd!L24</f>
        <v>3917</v>
      </c>
      <c r="AI18" s="616">
        <f>Bul_2nd!M24</f>
        <v>11357500</v>
      </c>
      <c r="AJ18" s="614"/>
      <c r="AK18" s="616"/>
      <c r="AL18" s="818">
        <f>C18+I18+O18+U18+AA18</f>
        <v>241968640</v>
      </c>
      <c r="AM18" s="818">
        <f>E18+K18+Q18+W18+AC18</f>
        <v>177910399</v>
      </c>
      <c r="AN18" s="818">
        <f>G18+M18+S18+Y18+AE18</f>
        <v>234241340</v>
      </c>
      <c r="BE18" s="614"/>
      <c r="BF18" s="616"/>
      <c r="BG18" s="614">
        <f>Bul_2nd!D36</f>
        <v>1</v>
      </c>
      <c r="BH18" s="616">
        <f>Bul_2nd!E36</f>
        <v>5000</v>
      </c>
      <c r="BI18" s="614"/>
      <c r="BJ18" s="616"/>
    </row>
    <row r="19" spans="1:62" x14ac:dyDescent="0.25">
      <c r="A19" s="813" t="s">
        <v>406</v>
      </c>
      <c r="B19" s="614">
        <v>17020</v>
      </c>
      <c r="C19" s="616">
        <v>255300000</v>
      </c>
      <c r="D19" s="614">
        <f>Bul_3rd!D12</f>
        <v>16827</v>
      </c>
      <c r="E19" s="616">
        <f>Bul_3rd!E12</f>
        <v>173234700</v>
      </c>
      <c r="F19" s="614">
        <v>17020</v>
      </c>
      <c r="G19" s="616">
        <v>255300000</v>
      </c>
      <c r="H19" s="614">
        <f>Bul_3rd!F12</f>
        <v>2155</v>
      </c>
      <c r="I19" s="616">
        <f>Bul_3rd!G12</f>
        <v>21550000</v>
      </c>
      <c r="J19" s="614">
        <f>Bul_3rd!H12</f>
        <v>804</v>
      </c>
      <c r="K19" s="616">
        <f>Bul_3rd!I12</f>
        <v>7618000</v>
      </c>
      <c r="L19" s="614">
        <v>2309</v>
      </c>
      <c r="M19" s="616">
        <v>23094208</v>
      </c>
      <c r="N19" s="614">
        <f>Bul_3rd!J12</f>
        <v>9600</v>
      </c>
      <c r="O19" s="616">
        <f>Bul_3rd!K12</f>
        <v>14976000</v>
      </c>
      <c r="P19" s="614">
        <f>Bul_3rd!L12</f>
        <v>7150</v>
      </c>
      <c r="Q19" s="616">
        <f>Bul_3rd!M12</f>
        <v>7387010</v>
      </c>
      <c r="R19" s="614">
        <v>10015</v>
      </c>
      <c r="S19" s="616">
        <v>18027000</v>
      </c>
      <c r="T19" s="614">
        <f>Bul_3rd!B23</f>
        <v>2258</v>
      </c>
      <c r="U19" s="616">
        <f>Bul_3rd!C23</f>
        <v>13548000</v>
      </c>
      <c r="V19" s="614">
        <f>Bul_3rd!D23</f>
        <v>3240</v>
      </c>
      <c r="W19" s="616">
        <f>Bul_3rd!E23</f>
        <v>19440000</v>
      </c>
      <c r="X19" s="614">
        <v>2954</v>
      </c>
      <c r="Y19" s="616">
        <f t="shared" si="62"/>
        <v>17724000</v>
      </c>
      <c r="Z19" s="614">
        <f>Bul_3rd!F23</f>
        <v>8</v>
      </c>
      <c r="AA19" s="616">
        <f>Bul_3rd!G23</f>
        <v>12725000</v>
      </c>
      <c r="AB19" s="614">
        <f>Bul_3rd!H23</f>
        <v>0</v>
      </c>
      <c r="AC19" s="616">
        <f>Bul_3rd!I23</f>
        <v>0</v>
      </c>
      <c r="AD19" s="614">
        <v>13</v>
      </c>
      <c r="AE19" s="616">
        <v>17331800</v>
      </c>
      <c r="AF19" s="614"/>
      <c r="AG19" s="616">
        <v>8245000</v>
      </c>
      <c r="AH19" s="614">
        <f>Bul_3rd!L23</f>
        <v>3674</v>
      </c>
      <c r="AI19" s="616">
        <f>Bul_3rd!M23</f>
        <v>8842500</v>
      </c>
      <c r="AJ19" s="614"/>
      <c r="AK19" s="616"/>
      <c r="AL19" s="818">
        <f>C19+I19+O19+U19+AA19</f>
        <v>318099000</v>
      </c>
      <c r="AM19" s="818">
        <f>E19+K19+Q19+W19+AC19</f>
        <v>207679710</v>
      </c>
      <c r="AN19" s="818">
        <f>G19+M19+S19+Y19+AE19</f>
        <v>331477008</v>
      </c>
      <c r="BE19" s="614"/>
      <c r="BF19" s="616"/>
      <c r="BG19" s="614">
        <f>Bul_3rd!D34</f>
        <v>2</v>
      </c>
      <c r="BH19" s="616">
        <f>Bul_3rd!E34</f>
        <v>5250</v>
      </c>
      <c r="BI19" s="614"/>
      <c r="BJ19" s="616"/>
    </row>
    <row r="20" spans="1:62" x14ac:dyDescent="0.25">
      <c r="A20" s="813" t="s">
        <v>399</v>
      </c>
      <c r="B20" s="614">
        <v>11354</v>
      </c>
      <c r="C20" s="616">
        <v>170310000</v>
      </c>
      <c r="D20" s="614">
        <f>Bul_4th!D12</f>
        <v>11444</v>
      </c>
      <c r="E20" s="616">
        <f>Bul_4th!E12</f>
        <v>120926500</v>
      </c>
      <c r="F20" s="614">
        <v>11354</v>
      </c>
      <c r="G20" s="616">
        <v>170310000</v>
      </c>
      <c r="H20" s="614">
        <f>Bul_4th!F12</f>
        <v>660</v>
      </c>
      <c r="I20" s="616">
        <f>Bul_4th!G12</f>
        <v>6600000</v>
      </c>
      <c r="J20" s="614">
        <f>Bul_4th!H12</f>
        <v>233</v>
      </c>
      <c r="K20" s="616">
        <f>Bul_4th!I12</f>
        <v>1515000</v>
      </c>
      <c r="L20" s="614">
        <v>722</v>
      </c>
      <c r="M20" s="616">
        <v>7216940</v>
      </c>
      <c r="N20" s="614">
        <f>Bul_4th!J12</f>
        <v>6866</v>
      </c>
      <c r="O20" s="616">
        <f>Bul_4th!K12</f>
        <v>10710960</v>
      </c>
      <c r="P20" s="614">
        <f>Bul_4th!L12</f>
        <v>5206</v>
      </c>
      <c r="Q20" s="616">
        <f>Bul_4th!M12</f>
        <v>4988095</v>
      </c>
      <c r="R20" s="614">
        <v>7165</v>
      </c>
      <c r="S20" s="616">
        <v>12897000</v>
      </c>
      <c r="T20" s="614">
        <f>Bul_3rd!B23</f>
        <v>2258</v>
      </c>
      <c r="U20" s="616">
        <f>Bul_3rd!C23</f>
        <v>13548000</v>
      </c>
      <c r="V20" s="614">
        <f>Bul_3rd!D23</f>
        <v>3240</v>
      </c>
      <c r="W20" s="616">
        <f>Bul_3rd!E23</f>
        <v>19440000</v>
      </c>
      <c r="X20" s="614">
        <v>1802</v>
      </c>
      <c r="Y20" s="616">
        <f t="shared" si="62"/>
        <v>10812000</v>
      </c>
      <c r="Z20" s="614">
        <f>Bul_4th!F22</f>
        <v>12</v>
      </c>
      <c r="AA20" s="616">
        <f>Bul_4th!G22</f>
        <v>21109400</v>
      </c>
      <c r="AB20" s="614">
        <f>Bul_4th!H22</f>
        <v>0</v>
      </c>
      <c r="AC20" s="616">
        <f>Bul_4th!I22</f>
        <v>0</v>
      </c>
      <c r="AD20" s="614">
        <v>8</v>
      </c>
      <c r="AE20" s="616">
        <v>7216585</v>
      </c>
      <c r="AF20" s="614"/>
      <c r="AG20" s="616">
        <v>12610000</v>
      </c>
      <c r="AH20" s="614">
        <f>Bul_4th!L22</f>
        <v>2965</v>
      </c>
      <c r="AI20" s="616">
        <f>Bul_4th!M22</f>
        <v>10330500</v>
      </c>
      <c r="AJ20" s="614"/>
      <c r="AK20" s="616"/>
      <c r="AL20" s="818">
        <f>C20+I20+O20+U20+AA20</f>
        <v>222278360</v>
      </c>
      <c r="AM20" s="818">
        <f>E20+K20+Q20+W20+AC20</f>
        <v>146869595</v>
      </c>
      <c r="AN20" s="818">
        <f>G20+M20+S20+Y20+AE20</f>
        <v>208452525</v>
      </c>
      <c r="BE20" s="614"/>
      <c r="BF20" s="616"/>
      <c r="BG20" s="614">
        <f>Bul_4th!D32</f>
        <v>1</v>
      </c>
      <c r="BH20" s="616">
        <f>Bul_4th!E32</f>
        <v>100</v>
      </c>
      <c r="BI20" s="614"/>
      <c r="BJ20" s="616"/>
    </row>
    <row r="21" spans="1:62" x14ac:dyDescent="0.25">
      <c r="A21" s="813" t="s">
        <v>408</v>
      </c>
      <c r="B21" s="614">
        <v>14662</v>
      </c>
      <c r="C21" s="616">
        <v>219930000</v>
      </c>
      <c r="D21" s="614">
        <f>Bul_Lone!D12</f>
        <v>14314</v>
      </c>
      <c r="E21" s="616">
        <f>Bul_Lone!E12</f>
        <v>154221100</v>
      </c>
      <c r="F21" s="614">
        <v>14662</v>
      </c>
      <c r="G21" s="616">
        <v>219930000</v>
      </c>
      <c r="H21" s="614">
        <f>Bul_Lone!F12</f>
        <v>1218</v>
      </c>
      <c r="I21" s="616">
        <f>Bul_Lone!G12</f>
        <v>12180000</v>
      </c>
      <c r="J21" s="614">
        <f>Bul_Lone!H12</f>
        <v>486</v>
      </c>
      <c r="K21" s="616">
        <f>Bul_Lone!I12</f>
        <v>2465000</v>
      </c>
      <c r="L21" s="614">
        <v>1299</v>
      </c>
      <c r="M21" s="616">
        <v>12990492</v>
      </c>
      <c r="N21" s="614">
        <f>Bul_Lone!J12</f>
        <v>5100</v>
      </c>
      <c r="O21" s="616">
        <f>Bul_Lone!K12</f>
        <v>7956000</v>
      </c>
      <c r="P21" s="614">
        <f>Bul_Lone!L12</f>
        <v>4501</v>
      </c>
      <c r="Q21" s="616">
        <f>Bul_Lone!M12</f>
        <v>4329962</v>
      </c>
      <c r="R21" s="614"/>
      <c r="S21" s="616"/>
      <c r="T21" s="614">
        <f>Bul_Lone!B18</f>
        <v>567</v>
      </c>
      <c r="U21" s="616">
        <f>Bul_Lone!C18</f>
        <v>3402000</v>
      </c>
      <c r="V21" s="614">
        <f>Bul_Lone!D18</f>
        <v>516</v>
      </c>
      <c r="W21" s="616">
        <f>Bul_Lone!E18</f>
        <v>3096000</v>
      </c>
      <c r="X21" s="614">
        <v>663</v>
      </c>
      <c r="Y21" s="616">
        <f t="shared" si="62"/>
        <v>3978000</v>
      </c>
      <c r="Z21" s="614">
        <f>Bul_Lone!F18</f>
        <v>1</v>
      </c>
      <c r="AA21" s="616">
        <f>Bul_Lone!G18</f>
        <v>6240000</v>
      </c>
      <c r="AB21" s="614">
        <f>Bul_Lone!H18</f>
        <v>0</v>
      </c>
      <c r="AC21" s="616">
        <f>Bul_Lone!I18</f>
        <v>0</v>
      </c>
      <c r="AD21" s="614">
        <v>4</v>
      </c>
      <c r="AE21" s="616">
        <v>13100000</v>
      </c>
      <c r="AF21" s="614"/>
      <c r="AG21" s="616"/>
      <c r="AH21" s="614">
        <f>Bul_Lone!L18</f>
        <v>1132</v>
      </c>
      <c r="AI21" s="616">
        <f>Bul_Lone!M18</f>
        <v>3425000</v>
      </c>
      <c r="AJ21" s="614"/>
      <c r="AK21" s="616"/>
      <c r="AL21" s="818">
        <f>C21+I21+O21+U21+AA21</f>
        <v>249708000</v>
      </c>
      <c r="AM21" s="818">
        <f>E21+K21+Q21+W21+AC21</f>
        <v>164112062</v>
      </c>
      <c r="AN21" s="818">
        <f>G21+M21+S21+Y21+AE21</f>
        <v>249998492</v>
      </c>
      <c r="BE21" s="614"/>
      <c r="BF21" s="616"/>
      <c r="BG21" s="614">
        <f>Bul_Lone!D24</f>
        <v>7</v>
      </c>
      <c r="BH21" s="616">
        <f>Bul_Lone!E24</f>
        <v>20650</v>
      </c>
      <c r="BI21" s="614"/>
      <c r="BJ21" s="616"/>
    </row>
    <row r="22" spans="1:62" s="48" customFormat="1" x14ac:dyDescent="0.25">
      <c r="A22" s="807" t="s">
        <v>297</v>
      </c>
      <c r="B22" s="808">
        <f>B23+B24+B25+B26</f>
        <v>88876</v>
      </c>
      <c r="C22" s="809">
        <f>SUM(C23:C26)</f>
        <v>1333140000</v>
      </c>
      <c r="D22" s="808">
        <f>D23+D24+D25+D26</f>
        <v>85797</v>
      </c>
      <c r="E22" s="809">
        <f>SUM(E23:E26)</f>
        <v>847505300</v>
      </c>
      <c r="F22" s="808">
        <f>F23+F24+F25+F26</f>
        <v>89281</v>
      </c>
      <c r="G22" s="809">
        <f t="shared" ref="G22:M22" si="63">SUM(G23:G26)</f>
        <v>1339215000</v>
      </c>
      <c r="H22" s="808">
        <f t="shared" si="63"/>
        <v>7693</v>
      </c>
      <c r="I22" s="809">
        <f t="shared" si="63"/>
        <v>76930000</v>
      </c>
      <c r="J22" s="808">
        <f t="shared" ref="J22:K22" si="64">SUM(J23:J26)</f>
        <v>2923</v>
      </c>
      <c r="K22" s="809">
        <f t="shared" si="64"/>
        <v>15854095</v>
      </c>
      <c r="L22" s="808">
        <f t="shared" si="63"/>
        <v>8472</v>
      </c>
      <c r="M22" s="809">
        <f t="shared" si="63"/>
        <v>84720600</v>
      </c>
      <c r="N22" s="808">
        <f t="shared" ref="N22:S22" si="65">SUM(N23:N26)</f>
        <v>35100</v>
      </c>
      <c r="O22" s="809">
        <f t="shared" si="65"/>
        <v>54756000</v>
      </c>
      <c r="P22" s="808">
        <f t="shared" ref="P22:Q22" si="66">SUM(P23:P26)</f>
        <v>32335</v>
      </c>
      <c r="Q22" s="809">
        <f t="shared" si="66"/>
        <v>34300601</v>
      </c>
      <c r="R22" s="808">
        <f t="shared" si="65"/>
        <v>35185</v>
      </c>
      <c r="S22" s="809">
        <f t="shared" si="65"/>
        <v>63333000</v>
      </c>
      <c r="T22" s="808">
        <f t="shared" ref="T22:Y22" si="67">SUM(T23:T26)</f>
        <v>13074</v>
      </c>
      <c r="U22" s="809">
        <f t="shared" si="67"/>
        <v>78444000</v>
      </c>
      <c r="V22" s="808">
        <f t="shared" ref="V22:W22" si="68">SUM(V23:V26)</f>
        <v>17494</v>
      </c>
      <c r="W22" s="809">
        <f t="shared" si="68"/>
        <v>104964000</v>
      </c>
      <c r="X22" s="808">
        <f t="shared" si="67"/>
        <v>16787</v>
      </c>
      <c r="Y22" s="809">
        <f t="shared" si="67"/>
        <v>100722000</v>
      </c>
      <c r="Z22" s="808">
        <f t="shared" ref="Z22:AA22" si="69">SUM(Z23:Z26)</f>
        <v>47</v>
      </c>
      <c r="AA22" s="809">
        <f t="shared" si="69"/>
        <v>71055914.870000005</v>
      </c>
      <c r="AB22" s="808">
        <f t="shared" ref="AB22:AC22" si="70">SUM(AB23:AB26)</f>
        <v>0</v>
      </c>
      <c r="AC22" s="809">
        <f t="shared" si="70"/>
        <v>0</v>
      </c>
      <c r="AD22" s="808">
        <f t="shared" ref="AD22:AM22" si="71">SUM(AD23:AD26)</f>
        <v>26</v>
      </c>
      <c r="AE22" s="809">
        <f t="shared" si="71"/>
        <v>30375665.219999999</v>
      </c>
      <c r="AF22" s="808">
        <f t="shared" si="71"/>
        <v>0</v>
      </c>
      <c r="AG22" s="809">
        <f t="shared" si="71"/>
        <v>52622500</v>
      </c>
      <c r="AH22" s="808">
        <f t="shared" si="71"/>
        <v>9076</v>
      </c>
      <c r="AI22" s="809">
        <f t="shared" si="71"/>
        <v>28880600</v>
      </c>
      <c r="AJ22" s="808">
        <f t="shared" ref="AJ22:AK22" si="72">SUM(AJ23:AJ26)</f>
        <v>0</v>
      </c>
      <c r="AK22" s="809">
        <f t="shared" si="72"/>
        <v>0</v>
      </c>
      <c r="AL22" s="809">
        <f t="shared" si="71"/>
        <v>1614325914.8699999</v>
      </c>
      <c r="AM22" s="809">
        <f t="shared" si="71"/>
        <v>1002623996</v>
      </c>
      <c r="AN22" s="809">
        <f t="shared" ref="AN22" si="73">SUM(AN23:AN26)</f>
        <v>1618366265.22</v>
      </c>
      <c r="BE22" s="808">
        <f t="shared" ref="BE22:BJ22" si="74">SUM(BE23:BE26)</f>
        <v>0</v>
      </c>
      <c r="BF22" s="809">
        <f t="shared" si="74"/>
        <v>0</v>
      </c>
      <c r="BG22" s="808">
        <f t="shared" si="74"/>
        <v>5</v>
      </c>
      <c r="BH22" s="809">
        <f t="shared" si="74"/>
        <v>11300</v>
      </c>
      <c r="BI22" s="808">
        <f t="shared" si="74"/>
        <v>0</v>
      </c>
      <c r="BJ22" s="809">
        <f t="shared" si="74"/>
        <v>0</v>
      </c>
    </row>
    <row r="23" spans="1:62" x14ac:dyDescent="0.25">
      <c r="A23" s="813" t="s">
        <v>278</v>
      </c>
      <c r="B23" s="614">
        <v>30139</v>
      </c>
      <c r="C23" s="616">
        <v>452085000</v>
      </c>
      <c r="D23" s="614">
        <f>NE_1st!D12</f>
        <v>29022</v>
      </c>
      <c r="E23" s="616">
        <f>NE_1st!E12</f>
        <v>284717700</v>
      </c>
      <c r="F23" s="614">
        <v>30139</v>
      </c>
      <c r="G23" s="616">
        <v>452085000</v>
      </c>
      <c r="H23" s="614">
        <f>NE_1st!F12</f>
        <v>1190</v>
      </c>
      <c r="I23" s="616">
        <f>NE_1st!G12</f>
        <v>11900000</v>
      </c>
      <c r="J23" s="614">
        <f>NE_1st!H12</f>
        <v>402</v>
      </c>
      <c r="K23" s="616">
        <f>NE_1st!I12</f>
        <v>2504000</v>
      </c>
      <c r="L23" s="614">
        <v>1356</v>
      </c>
      <c r="M23" s="616">
        <v>13555296</v>
      </c>
      <c r="N23" s="614">
        <f>NE_1st!J12</f>
        <v>8700</v>
      </c>
      <c r="O23" s="616">
        <f>NE_1st!K12</f>
        <v>13572000</v>
      </c>
      <c r="P23" s="614">
        <f>NE_1st!L12</f>
        <v>11031</v>
      </c>
      <c r="Q23" s="616">
        <f>NE_1st!M12</f>
        <v>14703704</v>
      </c>
      <c r="R23" s="614">
        <v>9157</v>
      </c>
      <c r="S23" s="616">
        <v>16482600</v>
      </c>
      <c r="T23" s="614">
        <f>NE_1st!B26</f>
        <v>3924</v>
      </c>
      <c r="U23" s="616">
        <f>NE_1st!C26</f>
        <v>23544000</v>
      </c>
      <c r="V23" s="614">
        <f>NE_1st!D26</f>
        <v>5444</v>
      </c>
      <c r="W23" s="616">
        <f>NE_1st!E26</f>
        <v>32664000</v>
      </c>
      <c r="X23" s="614">
        <v>4969</v>
      </c>
      <c r="Y23" s="616">
        <f t="shared" ref="Y23:Y26" si="75">X23*6000</f>
        <v>29814000</v>
      </c>
      <c r="Z23" s="614">
        <f>NE_1st!F26</f>
        <v>13</v>
      </c>
      <c r="AA23" s="616">
        <f>NE_1st!G26</f>
        <v>10331498.539999999</v>
      </c>
      <c r="AB23" s="614">
        <f>NE_1st!H26</f>
        <v>0</v>
      </c>
      <c r="AC23" s="616">
        <f>NE_1st!I26</f>
        <v>0</v>
      </c>
      <c r="AD23" s="614">
        <v>6</v>
      </c>
      <c r="AE23" s="616">
        <v>5550000</v>
      </c>
      <c r="AF23" s="614"/>
      <c r="AG23" s="616">
        <v>7760000</v>
      </c>
      <c r="AH23" s="614">
        <f>NE_1st!L26</f>
        <v>2178</v>
      </c>
      <c r="AI23" s="616">
        <f>NE_1st!M26</f>
        <v>4909600</v>
      </c>
      <c r="AJ23" s="614"/>
      <c r="AK23" s="616"/>
      <c r="AL23" s="818">
        <f>C23+I23+O23+U23+AA23</f>
        <v>511432498.54000002</v>
      </c>
      <c r="AM23" s="818">
        <f>E23+K23+Q23+W23+AC23</f>
        <v>334589404</v>
      </c>
      <c r="AN23" s="818">
        <f>G23+M23+S23+Y23+AE23</f>
        <v>517486896</v>
      </c>
      <c r="BE23" s="614"/>
      <c r="BF23" s="616"/>
      <c r="BG23" s="614">
        <f>NE_1st!D40</f>
        <v>1</v>
      </c>
      <c r="BH23" s="616">
        <f>NE_1st!E40</f>
        <v>500</v>
      </c>
      <c r="BI23" s="614"/>
      <c r="BJ23" s="616"/>
    </row>
    <row r="24" spans="1:62" x14ac:dyDescent="0.25">
      <c r="A24" s="813" t="s">
        <v>397</v>
      </c>
      <c r="B24" s="614">
        <v>21072</v>
      </c>
      <c r="C24" s="616">
        <v>316080000</v>
      </c>
      <c r="D24" s="614">
        <f>NE_2nd!D12</f>
        <v>20467</v>
      </c>
      <c r="E24" s="616">
        <f>NE_2nd!E12</f>
        <v>196397700</v>
      </c>
      <c r="F24" s="614">
        <v>21198</v>
      </c>
      <c r="G24" s="616">
        <v>317970000</v>
      </c>
      <c r="H24" s="614">
        <f>NE_2nd!F12</f>
        <v>2003</v>
      </c>
      <c r="I24" s="616">
        <f>NE_2nd!G12</f>
        <v>20030000</v>
      </c>
      <c r="J24" s="614">
        <f>NE_2nd!H12</f>
        <v>175</v>
      </c>
      <c r="K24" s="616">
        <f>NE_2nd!I12</f>
        <v>1075000</v>
      </c>
      <c r="L24" s="614">
        <v>2203</v>
      </c>
      <c r="M24" s="616">
        <v>22027356</v>
      </c>
      <c r="N24" s="614">
        <f>NE_2nd!J12</f>
        <v>9000</v>
      </c>
      <c r="O24" s="616">
        <f>NE_2nd!K12</f>
        <v>14040000</v>
      </c>
      <c r="P24" s="614">
        <f>NE_2nd!L12</f>
        <v>7461</v>
      </c>
      <c r="Q24" s="616">
        <f>NE_2nd!M12</f>
        <v>7012114</v>
      </c>
      <c r="R24" s="614">
        <v>9637</v>
      </c>
      <c r="S24" s="616">
        <v>17346600</v>
      </c>
      <c r="T24" s="614">
        <f>NE_2nd!B25</f>
        <v>3346</v>
      </c>
      <c r="U24" s="616">
        <f>NE_2nd!C25</f>
        <v>20076000</v>
      </c>
      <c r="V24" s="614">
        <f>NE_2nd!D25</f>
        <v>4133</v>
      </c>
      <c r="W24" s="616">
        <f>NE_2nd!E25</f>
        <v>24798000</v>
      </c>
      <c r="X24" s="614">
        <v>4274</v>
      </c>
      <c r="Y24" s="616">
        <f t="shared" si="75"/>
        <v>25644000</v>
      </c>
      <c r="Z24" s="614">
        <f>NE_2nd!F25</f>
        <v>17</v>
      </c>
      <c r="AA24" s="616">
        <f>NE_2nd!G25</f>
        <v>23454077.829999998</v>
      </c>
      <c r="AB24" s="614">
        <f>NE_2nd!H25</f>
        <v>0</v>
      </c>
      <c r="AC24" s="616">
        <f>NE_2nd!I25</f>
        <v>0</v>
      </c>
      <c r="AD24" s="614">
        <v>8</v>
      </c>
      <c r="AE24" s="616">
        <v>8040165.2199999997</v>
      </c>
      <c r="AF24" s="614"/>
      <c r="AG24" s="616">
        <v>8487500</v>
      </c>
      <c r="AH24" s="614">
        <f>NE_2nd!L25</f>
        <v>1582</v>
      </c>
      <c r="AI24" s="616">
        <f>NE_2nd!M25</f>
        <v>4275500</v>
      </c>
      <c r="AJ24" s="614"/>
      <c r="AK24" s="616"/>
      <c r="AL24" s="818">
        <f>C24+I24+O24+U24+AA24</f>
        <v>393680077.82999998</v>
      </c>
      <c r="AM24" s="818">
        <f>E24+K24+Q24+W24+AC24</f>
        <v>229282814</v>
      </c>
      <c r="AN24" s="818">
        <f>G24+M24+S24+Y24+AE24</f>
        <v>391028121.22000003</v>
      </c>
      <c r="BE24" s="614"/>
      <c r="BF24" s="616"/>
      <c r="BG24" s="614">
        <f>NE_2nd!D38</f>
        <v>0</v>
      </c>
      <c r="BH24" s="616">
        <f>NE_2nd!E38</f>
        <v>0</v>
      </c>
      <c r="BI24" s="614"/>
      <c r="BJ24" s="616"/>
    </row>
    <row r="25" spans="1:62" x14ac:dyDescent="0.25">
      <c r="A25" s="813" t="s">
        <v>406</v>
      </c>
      <c r="B25" s="614">
        <v>19551</v>
      </c>
      <c r="C25" s="616">
        <v>293265000</v>
      </c>
      <c r="D25" s="614">
        <f>NE_3rd!D12</f>
        <v>18731</v>
      </c>
      <c r="E25" s="616">
        <f>NE_3rd!E12</f>
        <v>187987400</v>
      </c>
      <c r="F25" s="614">
        <v>19625</v>
      </c>
      <c r="G25" s="616">
        <v>294375000</v>
      </c>
      <c r="H25" s="614">
        <f>NE_3rd!F12</f>
        <v>1860</v>
      </c>
      <c r="I25" s="616">
        <f>NE_3rd!G12</f>
        <v>18600000</v>
      </c>
      <c r="J25" s="614">
        <f>NE_3rd!H12</f>
        <v>797</v>
      </c>
      <c r="K25" s="616">
        <f>NE_3rd!I12</f>
        <v>4527000</v>
      </c>
      <c r="L25" s="614">
        <v>2033</v>
      </c>
      <c r="M25" s="616">
        <v>20332944</v>
      </c>
      <c r="N25" s="614">
        <f>NE_3rd!J12</f>
        <v>10700</v>
      </c>
      <c r="O25" s="616">
        <f>NE_3rd!K12</f>
        <v>16692000</v>
      </c>
      <c r="P25" s="614">
        <f>NE_3rd!L12</f>
        <v>8700</v>
      </c>
      <c r="Q25" s="616">
        <f>NE_3rd!M12</f>
        <v>7810968</v>
      </c>
      <c r="R25" s="614">
        <v>9703</v>
      </c>
      <c r="S25" s="616">
        <v>17465400</v>
      </c>
      <c r="T25" s="614">
        <f>NE_3rd!B24</f>
        <v>2747</v>
      </c>
      <c r="U25" s="616">
        <f>NE_3rd!C24</f>
        <v>16482000</v>
      </c>
      <c r="V25" s="614">
        <f>NE_3rd!D24</f>
        <v>3696</v>
      </c>
      <c r="W25" s="616">
        <f>NE_3rd!E24</f>
        <v>22176000</v>
      </c>
      <c r="X25" s="614">
        <v>3559</v>
      </c>
      <c r="Y25" s="616">
        <f t="shared" si="75"/>
        <v>21354000</v>
      </c>
      <c r="Z25" s="614">
        <f>NE_3rd!F24</f>
        <v>9</v>
      </c>
      <c r="AA25" s="616">
        <f>NE_3rd!G24</f>
        <v>18520338.5</v>
      </c>
      <c r="AB25" s="614">
        <f>NE_3rd!H24</f>
        <v>0</v>
      </c>
      <c r="AC25" s="616">
        <f>NE_3rd!I24</f>
        <v>0</v>
      </c>
      <c r="AD25" s="614">
        <v>4</v>
      </c>
      <c r="AE25" s="616">
        <v>4135500</v>
      </c>
      <c r="AF25" s="614"/>
      <c r="AG25" s="616">
        <v>7275000</v>
      </c>
      <c r="AH25" s="614">
        <f>NE_3rd!L24</f>
        <v>879</v>
      </c>
      <c r="AI25" s="616">
        <f>NE_3rd!M24</f>
        <v>2499500</v>
      </c>
      <c r="AJ25" s="614"/>
      <c r="AK25" s="616"/>
      <c r="AL25" s="818">
        <f>C25+I25+O25+U25+AA25</f>
        <v>363559338.5</v>
      </c>
      <c r="AM25" s="818">
        <f>E25+K25+Q25+W25+AC25</f>
        <v>222501368</v>
      </c>
      <c r="AN25" s="818">
        <f>G25+M25+S25+Y25+AE25</f>
        <v>357662844</v>
      </c>
      <c r="BE25" s="614"/>
      <c r="BF25" s="616"/>
      <c r="BG25" s="614">
        <f>NE_3rd!D36</f>
        <v>4</v>
      </c>
      <c r="BH25" s="616">
        <f>NE_3rd!E36</f>
        <v>10800</v>
      </c>
      <c r="BI25" s="614"/>
      <c r="BJ25" s="616"/>
    </row>
    <row r="26" spans="1:62" x14ac:dyDescent="0.25">
      <c r="A26" s="813" t="s">
        <v>399</v>
      </c>
      <c r="B26" s="614">
        <v>18114</v>
      </c>
      <c r="C26" s="616">
        <v>271710000</v>
      </c>
      <c r="D26" s="614">
        <f>NE_4th!D12</f>
        <v>17577</v>
      </c>
      <c r="E26" s="616">
        <f>NE_4th!E12</f>
        <v>178402500</v>
      </c>
      <c r="F26" s="614">
        <v>18319</v>
      </c>
      <c r="G26" s="616">
        <v>274785000</v>
      </c>
      <c r="H26" s="614">
        <f>NE_4th!F12</f>
        <v>2640</v>
      </c>
      <c r="I26" s="616">
        <f>NE_4th!G12</f>
        <v>26400000</v>
      </c>
      <c r="J26" s="614">
        <f>NE_4th!H12</f>
        <v>1549</v>
      </c>
      <c r="K26" s="616">
        <f>NE_4th!I12</f>
        <v>7748095</v>
      </c>
      <c r="L26" s="614">
        <v>2880</v>
      </c>
      <c r="M26" s="616">
        <v>28805004</v>
      </c>
      <c r="N26" s="614">
        <f>NE_4th!J12</f>
        <v>6700</v>
      </c>
      <c r="O26" s="616">
        <f>NE_4th!K12</f>
        <v>10452000</v>
      </c>
      <c r="P26" s="614">
        <f>NE_4th!L12</f>
        <v>5143</v>
      </c>
      <c r="Q26" s="616">
        <f>NE_4th!M12</f>
        <v>4773815</v>
      </c>
      <c r="R26" s="614">
        <v>6688</v>
      </c>
      <c r="S26" s="616">
        <v>12038400</v>
      </c>
      <c r="T26" s="614">
        <f>NE_4th!B25</f>
        <v>3057</v>
      </c>
      <c r="U26" s="616">
        <f>NE_4th!C25</f>
        <v>18342000</v>
      </c>
      <c r="V26" s="614">
        <f>NE_4th!D25</f>
        <v>4221</v>
      </c>
      <c r="W26" s="616">
        <f>NE_4th!E25</f>
        <v>25326000</v>
      </c>
      <c r="X26" s="614">
        <v>3985</v>
      </c>
      <c r="Y26" s="616">
        <f t="shared" si="75"/>
        <v>23910000</v>
      </c>
      <c r="Z26" s="614">
        <f>NE_4th!F25</f>
        <v>8</v>
      </c>
      <c r="AA26" s="616">
        <f>NE_4th!G25</f>
        <v>18750000</v>
      </c>
      <c r="AB26" s="614">
        <f>NE_4th!H25</f>
        <v>0</v>
      </c>
      <c r="AC26" s="616">
        <f>NE_4th!I25</f>
        <v>0</v>
      </c>
      <c r="AD26" s="614">
        <v>8</v>
      </c>
      <c r="AE26" s="616">
        <v>12650000</v>
      </c>
      <c r="AF26" s="614"/>
      <c r="AG26" s="616">
        <v>29100000</v>
      </c>
      <c r="AH26" s="614">
        <f>NE_4th!L25</f>
        <v>4437</v>
      </c>
      <c r="AI26" s="616">
        <f>NE_4th!M25</f>
        <v>17196000</v>
      </c>
      <c r="AJ26" s="614"/>
      <c r="AK26" s="616"/>
      <c r="AL26" s="818">
        <f>C26+I26+O26+U26+AA26</f>
        <v>345654000</v>
      </c>
      <c r="AM26" s="818">
        <f>E26+K26+Q26+W26+AC26</f>
        <v>216250410</v>
      </c>
      <c r="AN26" s="818">
        <f>G26+M26+S26+Y26+AE26</f>
        <v>352188404</v>
      </c>
      <c r="BE26" s="614"/>
      <c r="BF26" s="616"/>
      <c r="BG26" s="614">
        <f>NE_4th!D38</f>
        <v>0</v>
      </c>
      <c r="BH26" s="616">
        <f>NE_4th!E38</f>
        <v>0</v>
      </c>
      <c r="BI26" s="614"/>
      <c r="BJ26" s="616"/>
    </row>
    <row r="27" spans="1:62" s="48" customFormat="1" x14ac:dyDescent="0.25">
      <c r="A27" s="807" t="s">
        <v>298</v>
      </c>
      <c r="B27" s="808">
        <f>B28+B29+B30+B31</f>
        <v>50457</v>
      </c>
      <c r="C27" s="809">
        <f>SUM(C28:C31)</f>
        <v>756855000</v>
      </c>
      <c r="D27" s="808">
        <f>D28+D29+D30+D31</f>
        <v>52418</v>
      </c>
      <c r="E27" s="809">
        <f>SUM(E28:E31)</f>
        <v>559354100</v>
      </c>
      <c r="F27" s="808">
        <f>F28+F29+F30+F31</f>
        <v>50982</v>
      </c>
      <c r="G27" s="809">
        <f t="shared" ref="G27:M27" si="76">SUM(G28:G31)</f>
        <v>764730000</v>
      </c>
      <c r="H27" s="808">
        <f t="shared" si="76"/>
        <v>5154</v>
      </c>
      <c r="I27" s="809">
        <f t="shared" si="76"/>
        <v>51540000</v>
      </c>
      <c r="J27" s="808">
        <f t="shared" ref="J27:K27" si="77">SUM(J28:J31)</f>
        <v>1813</v>
      </c>
      <c r="K27" s="809">
        <f t="shared" si="77"/>
        <v>10387865</v>
      </c>
      <c r="L27" s="808">
        <f t="shared" si="76"/>
        <v>5648</v>
      </c>
      <c r="M27" s="809">
        <f t="shared" si="76"/>
        <v>56480400</v>
      </c>
      <c r="N27" s="808">
        <f t="shared" ref="N27:S27" si="78">SUM(N28:N31)</f>
        <v>30350</v>
      </c>
      <c r="O27" s="809">
        <f t="shared" si="78"/>
        <v>47346000</v>
      </c>
      <c r="P27" s="808">
        <f t="shared" ref="P27:Q27" si="79">SUM(P28:P31)</f>
        <v>21888</v>
      </c>
      <c r="Q27" s="809">
        <f t="shared" si="79"/>
        <v>19886177</v>
      </c>
      <c r="R27" s="808">
        <f t="shared" si="78"/>
        <v>31027</v>
      </c>
      <c r="S27" s="809">
        <f t="shared" si="78"/>
        <v>55848600</v>
      </c>
      <c r="T27" s="808">
        <f t="shared" ref="T27:Y27" si="80">SUM(T28:T31)</f>
        <v>8036</v>
      </c>
      <c r="U27" s="809">
        <f t="shared" si="80"/>
        <v>48216000</v>
      </c>
      <c r="V27" s="808">
        <f t="shared" ref="V27:W27" si="81">SUM(V28:V31)</f>
        <v>21823</v>
      </c>
      <c r="W27" s="809">
        <f t="shared" si="81"/>
        <v>120849000</v>
      </c>
      <c r="X27" s="808">
        <f t="shared" si="80"/>
        <v>10591</v>
      </c>
      <c r="Y27" s="809">
        <f t="shared" si="80"/>
        <v>63546000</v>
      </c>
      <c r="Z27" s="808">
        <f t="shared" ref="Z27:AA27" si="82">SUM(Z28:Z31)</f>
        <v>48</v>
      </c>
      <c r="AA27" s="809">
        <f t="shared" si="82"/>
        <v>60866921.740000002</v>
      </c>
      <c r="AB27" s="808">
        <f t="shared" ref="AB27:AC27" si="83">SUM(AB28:AB31)</f>
        <v>0</v>
      </c>
      <c r="AC27" s="809">
        <f t="shared" si="83"/>
        <v>0</v>
      </c>
      <c r="AD27" s="808">
        <f t="shared" ref="AD27:AM27" si="84">SUM(AD28:AD31)</f>
        <v>79</v>
      </c>
      <c r="AE27" s="809">
        <f t="shared" si="84"/>
        <v>64314088</v>
      </c>
      <c r="AF27" s="808">
        <f t="shared" si="84"/>
        <v>0</v>
      </c>
      <c r="AG27" s="809">
        <f t="shared" si="84"/>
        <v>24541000</v>
      </c>
      <c r="AH27" s="808">
        <f t="shared" si="84"/>
        <v>5158</v>
      </c>
      <c r="AI27" s="809">
        <f t="shared" si="84"/>
        <v>19221338</v>
      </c>
      <c r="AJ27" s="808">
        <f t="shared" ref="AJ27:AK27" si="85">SUM(AJ28:AJ31)</f>
        <v>0</v>
      </c>
      <c r="AK27" s="809">
        <f t="shared" si="85"/>
        <v>0</v>
      </c>
      <c r="AL27" s="809">
        <f t="shared" si="84"/>
        <v>964823921.74000001</v>
      </c>
      <c r="AM27" s="809">
        <f t="shared" si="84"/>
        <v>710477142</v>
      </c>
      <c r="AN27" s="809">
        <f t="shared" ref="AN27" si="86">SUM(AN28:AN31)</f>
        <v>1004919088</v>
      </c>
      <c r="BE27" s="808">
        <f t="shared" ref="BE27:BJ27" si="87">SUM(BE28:BE31)</f>
        <v>0</v>
      </c>
      <c r="BF27" s="809">
        <f t="shared" si="87"/>
        <v>0</v>
      </c>
      <c r="BG27" s="808">
        <f t="shared" si="87"/>
        <v>54</v>
      </c>
      <c r="BH27" s="809">
        <f t="shared" si="87"/>
        <v>214699</v>
      </c>
      <c r="BI27" s="808">
        <f t="shared" si="87"/>
        <v>0</v>
      </c>
      <c r="BJ27" s="809">
        <f t="shared" si="87"/>
        <v>0</v>
      </c>
    </row>
    <row r="28" spans="1:62" x14ac:dyDescent="0.25">
      <c r="A28" s="813" t="s">
        <v>278</v>
      </c>
      <c r="B28" s="614">
        <v>7250</v>
      </c>
      <c r="C28" s="616">
        <v>108750000</v>
      </c>
      <c r="D28" s="614">
        <f>Pamp_1st!D12</f>
        <v>7381</v>
      </c>
      <c r="E28" s="616">
        <f>Pamp_1st!E12</f>
        <v>77744100</v>
      </c>
      <c r="F28" s="614">
        <v>7604</v>
      </c>
      <c r="G28" s="616">
        <v>114060000</v>
      </c>
      <c r="H28" s="614">
        <f>Pamp_1st!F12</f>
        <v>910</v>
      </c>
      <c r="I28" s="616">
        <f>Pamp_1st!G12</f>
        <v>9100000</v>
      </c>
      <c r="J28" s="614">
        <f>Pamp_1st!H12</f>
        <v>291</v>
      </c>
      <c r="K28" s="616">
        <f>Pamp_1st!I12</f>
        <v>1446865</v>
      </c>
      <c r="L28" s="614">
        <v>1017</v>
      </c>
      <c r="M28" s="616">
        <v>10166472</v>
      </c>
      <c r="N28" s="614">
        <f>Pamp_1st!J12</f>
        <v>5600</v>
      </c>
      <c r="O28" s="616">
        <f>Pamp_1st!K12</f>
        <v>8736000</v>
      </c>
      <c r="P28" s="614">
        <f>Pamp_1st!L12</f>
        <v>3410</v>
      </c>
      <c r="Q28" s="616">
        <f>Pamp_1st!M12</f>
        <v>3624494</v>
      </c>
      <c r="R28" s="614">
        <v>7548</v>
      </c>
      <c r="S28" s="616">
        <v>13586400</v>
      </c>
      <c r="T28" s="614">
        <f>Pamp_1st!B20</f>
        <v>1031</v>
      </c>
      <c r="U28" s="616">
        <f>Pamp_1st!C20</f>
        <v>6186000</v>
      </c>
      <c r="V28" s="614">
        <f>Pamp_1st!D20</f>
        <v>1548</v>
      </c>
      <c r="W28" s="616">
        <f>Pamp_1st!E20</f>
        <v>9288000</v>
      </c>
      <c r="X28" s="614">
        <v>1380</v>
      </c>
      <c r="Y28" s="616">
        <f t="shared" ref="Y28:Y38" si="88">X28*6000</f>
        <v>8280000</v>
      </c>
      <c r="Z28" s="614">
        <f>Pamp_1st!F20</f>
        <v>6</v>
      </c>
      <c r="AA28" s="616">
        <f>Pamp_1st!G20</f>
        <v>6575000</v>
      </c>
      <c r="AB28" s="614">
        <f>Pamp_1st!H20</f>
        <v>0</v>
      </c>
      <c r="AC28" s="616">
        <f>Pamp_1st!I20</f>
        <v>0</v>
      </c>
      <c r="AD28" s="614">
        <v>8</v>
      </c>
      <c r="AE28" s="616">
        <v>6792660</v>
      </c>
      <c r="AF28" s="614"/>
      <c r="AG28" s="616">
        <v>9700000</v>
      </c>
      <c r="AH28" s="614">
        <f>Pamp_1st!L20</f>
        <v>885</v>
      </c>
      <c r="AI28" s="616">
        <f>Pamp_1st!M20</f>
        <v>3376000</v>
      </c>
      <c r="AJ28" s="614"/>
      <c r="AK28" s="616"/>
      <c r="AL28" s="818">
        <f>C28+I28+O28+U28+AA28</f>
        <v>139347000</v>
      </c>
      <c r="AM28" s="818">
        <f>E28+K28+Q28+W28+AC28</f>
        <v>92103459</v>
      </c>
      <c r="AN28" s="818">
        <f>G28+M28+S28+Y28+AE28</f>
        <v>152885532</v>
      </c>
      <c r="BE28" s="614"/>
      <c r="BF28" s="616"/>
      <c r="BG28" s="614">
        <f>Pamp_1st!D28</f>
        <v>5</v>
      </c>
      <c r="BH28" s="616">
        <f>Pamp_1st!E28</f>
        <v>13900</v>
      </c>
      <c r="BI28" s="614"/>
      <c r="BJ28" s="616"/>
    </row>
    <row r="29" spans="1:62" x14ac:dyDescent="0.25">
      <c r="A29" s="813" t="s">
        <v>397</v>
      </c>
      <c r="B29" s="614">
        <v>12900</v>
      </c>
      <c r="C29" s="616">
        <v>193500000</v>
      </c>
      <c r="D29" s="614">
        <f>Pamp_2nd!D12</f>
        <v>13888</v>
      </c>
      <c r="E29" s="616">
        <f>Pamp_2nd!E12</f>
        <v>147113500</v>
      </c>
      <c r="F29" s="614">
        <v>13071</v>
      </c>
      <c r="G29" s="616">
        <v>196065000</v>
      </c>
      <c r="H29" s="614">
        <f>Pamp_2nd!F12</f>
        <v>1120</v>
      </c>
      <c r="I29" s="616">
        <f>Pamp_2nd!G12</f>
        <v>11200000</v>
      </c>
      <c r="J29" s="614">
        <f>Pamp_2nd!H12</f>
        <v>912</v>
      </c>
      <c r="K29" s="616">
        <f>Pamp_2nd!I12</f>
        <v>5333000</v>
      </c>
      <c r="L29" s="614">
        <v>1243</v>
      </c>
      <c r="M29" s="616">
        <v>12425688</v>
      </c>
      <c r="N29" s="614">
        <f>Pamp_2nd!J12</f>
        <v>9250</v>
      </c>
      <c r="O29" s="616">
        <f>Pamp_2nd!K12</f>
        <v>14430000</v>
      </c>
      <c r="P29" s="614">
        <f>Pamp_2nd!L12</f>
        <v>9039</v>
      </c>
      <c r="Q29" s="616">
        <f>Pamp_2nd!M12</f>
        <v>10602022</v>
      </c>
      <c r="R29" s="614">
        <v>9888</v>
      </c>
      <c r="S29" s="616">
        <v>17798400</v>
      </c>
      <c r="T29" s="614">
        <f>Pamp_2nd!B23</f>
        <v>2335</v>
      </c>
      <c r="U29" s="616">
        <f>Pamp_2nd!C23</f>
        <v>14010000</v>
      </c>
      <c r="V29" s="614">
        <f>Pamp_2nd!D23</f>
        <v>12302</v>
      </c>
      <c r="W29" s="616">
        <f>Pamp_2nd!E23</f>
        <v>73812000</v>
      </c>
      <c r="X29" s="614">
        <v>3031</v>
      </c>
      <c r="Y29" s="616">
        <f t="shared" si="88"/>
        <v>18186000</v>
      </c>
      <c r="Z29" s="614">
        <f>Pamp_2nd!F23</f>
        <v>12</v>
      </c>
      <c r="AA29" s="616">
        <f>Pamp_2nd!G23</f>
        <v>17590400</v>
      </c>
      <c r="AB29" s="614">
        <f>Pamp_2nd!H23</f>
        <v>0</v>
      </c>
      <c r="AC29" s="616">
        <f>Pamp_2nd!I23</f>
        <v>0</v>
      </c>
      <c r="AD29" s="614">
        <v>15</v>
      </c>
      <c r="AE29" s="616">
        <v>17310000</v>
      </c>
      <c r="AF29" s="614"/>
      <c r="AG29" s="616">
        <v>2910000</v>
      </c>
      <c r="AH29" s="614">
        <f>Pamp_2nd!L23</f>
        <v>562</v>
      </c>
      <c r="AI29" s="616">
        <f>Pamp_2nd!M23</f>
        <v>1953000</v>
      </c>
      <c r="AJ29" s="614"/>
      <c r="AK29" s="616"/>
      <c r="AL29" s="818">
        <f>C29+I29+O29+U29+AA29</f>
        <v>250730400</v>
      </c>
      <c r="AM29" s="818">
        <f>E29+K29+Q29+W29+AC29</f>
        <v>236860522</v>
      </c>
      <c r="AN29" s="818">
        <f>G29+M29+S29+Y29+AE29</f>
        <v>261785088</v>
      </c>
      <c r="BE29" s="614"/>
      <c r="BF29" s="616"/>
      <c r="BG29" s="614">
        <f>Pamp_2nd!D34</f>
        <v>10</v>
      </c>
      <c r="BH29" s="616">
        <f>Pamp_2nd!E34</f>
        <v>46000</v>
      </c>
      <c r="BI29" s="614"/>
      <c r="BJ29" s="616"/>
    </row>
    <row r="30" spans="1:62" x14ac:dyDescent="0.25">
      <c r="A30" s="813" t="s">
        <v>406</v>
      </c>
      <c r="B30" s="614">
        <v>11749</v>
      </c>
      <c r="C30" s="616">
        <v>176235000</v>
      </c>
      <c r="D30" s="614">
        <f>Pamp_3rd!D12</f>
        <v>12041</v>
      </c>
      <c r="E30" s="616">
        <f>Pamp_3rd!E12</f>
        <v>128204800</v>
      </c>
      <c r="F30" s="614">
        <v>11749</v>
      </c>
      <c r="G30" s="616">
        <v>176235000</v>
      </c>
      <c r="H30" s="614">
        <f>Pamp_3rd!F12</f>
        <v>1240</v>
      </c>
      <c r="I30" s="616">
        <f>Pamp_3rd!G12</f>
        <v>12400000</v>
      </c>
      <c r="J30" s="614">
        <f>Pamp_3rd!H12</f>
        <v>388</v>
      </c>
      <c r="K30" s="616">
        <f>Pamp_3rd!I12</f>
        <v>2248000</v>
      </c>
      <c r="L30" s="614">
        <v>1355</v>
      </c>
      <c r="M30" s="616">
        <v>13555296</v>
      </c>
      <c r="N30" s="614">
        <f>Pamp_3rd!J12</f>
        <v>9400</v>
      </c>
      <c r="O30" s="616">
        <f>Pamp_3rd!K12</f>
        <v>14664000</v>
      </c>
      <c r="P30" s="614">
        <f>Pamp_3rd!L12</f>
        <v>5106</v>
      </c>
      <c r="Q30" s="616">
        <f>Pamp_3rd!M12</f>
        <v>1482780</v>
      </c>
      <c r="R30" s="614">
        <v>6975</v>
      </c>
      <c r="S30" s="616">
        <v>12555000</v>
      </c>
      <c r="T30" s="614">
        <f>Pamp_3rd!B22</f>
        <v>1805</v>
      </c>
      <c r="U30" s="616">
        <f>Pamp_3rd!C22</f>
        <v>10830000</v>
      </c>
      <c r="V30" s="614">
        <f>Pamp_3rd!D22</f>
        <v>3363</v>
      </c>
      <c r="W30" s="616">
        <f>Pamp_3rd!E22</f>
        <v>10089000</v>
      </c>
      <c r="X30" s="614">
        <v>2386</v>
      </c>
      <c r="Y30" s="616">
        <f t="shared" si="88"/>
        <v>14316000</v>
      </c>
      <c r="Z30" s="614">
        <f>Pamp_3rd!F22</f>
        <v>13</v>
      </c>
      <c r="AA30" s="616">
        <f>Pamp_3rd!G22</f>
        <v>16875000</v>
      </c>
      <c r="AB30" s="614">
        <f>Pamp_3rd!H22</f>
        <v>0</v>
      </c>
      <c r="AC30" s="616">
        <f>Pamp_3rd!I22</f>
        <v>0</v>
      </c>
      <c r="AD30" s="614">
        <v>25</v>
      </c>
      <c r="AE30" s="616">
        <v>13432428</v>
      </c>
      <c r="AF30" s="614"/>
      <c r="AG30" s="616">
        <v>7081000</v>
      </c>
      <c r="AH30" s="614">
        <f>Pamp_3rd!L22</f>
        <v>1902</v>
      </c>
      <c r="AI30" s="616">
        <f>Pamp_3rd!M22</f>
        <v>6715800</v>
      </c>
      <c r="AJ30" s="614"/>
      <c r="AK30" s="616"/>
      <c r="AL30" s="818">
        <f>C30+I30+O30+U30+AA30</f>
        <v>231004000</v>
      </c>
      <c r="AM30" s="818">
        <f>E30+K30+Q30+W30+AC30</f>
        <v>142024580</v>
      </c>
      <c r="AN30" s="818">
        <f>G30+M30+S30+Y30+AE30</f>
        <v>230093724</v>
      </c>
      <c r="BE30" s="614"/>
      <c r="BF30" s="616"/>
      <c r="BG30" s="614">
        <f>Pamp_3rd!D32</f>
        <v>26</v>
      </c>
      <c r="BH30" s="616">
        <f>Pamp_3rd!E32</f>
        <v>108500</v>
      </c>
      <c r="BI30" s="614"/>
      <c r="BJ30" s="616"/>
    </row>
    <row r="31" spans="1:62" x14ac:dyDescent="0.25">
      <c r="A31" s="813" t="s">
        <v>399</v>
      </c>
      <c r="B31" s="614">
        <v>18558</v>
      </c>
      <c r="C31" s="616">
        <v>278370000</v>
      </c>
      <c r="D31" s="614">
        <f>Pamp_4th!D12</f>
        <v>19108</v>
      </c>
      <c r="E31" s="616">
        <f>Pamp_4th!E12</f>
        <v>206291700</v>
      </c>
      <c r="F31" s="614">
        <v>18558</v>
      </c>
      <c r="G31" s="616">
        <v>278370000</v>
      </c>
      <c r="H31" s="614">
        <f>Pamp_4th!F12</f>
        <v>1884</v>
      </c>
      <c r="I31" s="616">
        <f>Pamp_4th!G12</f>
        <v>18840000</v>
      </c>
      <c r="J31" s="614">
        <f>Pamp_4th!H12</f>
        <v>222</v>
      </c>
      <c r="K31" s="616">
        <f>Pamp_4th!I12</f>
        <v>1360000</v>
      </c>
      <c r="L31" s="614">
        <v>2033</v>
      </c>
      <c r="M31" s="616">
        <v>20332944</v>
      </c>
      <c r="N31" s="614">
        <f>Pamp_4th!J12</f>
        <v>6100</v>
      </c>
      <c r="O31" s="616">
        <f>Pamp_4th!K12</f>
        <v>9516000</v>
      </c>
      <c r="P31" s="614">
        <f>Pamp_4th!L12</f>
        <v>4333</v>
      </c>
      <c r="Q31" s="616">
        <f>Pamp_4th!M12</f>
        <v>4176881</v>
      </c>
      <c r="R31" s="614">
        <v>6616</v>
      </c>
      <c r="S31" s="616">
        <v>11908800</v>
      </c>
      <c r="T31" s="614">
        <f>Pamp_4th!B25</f>
        <v>2865</v>
      </c>
      <c r="U31" s="616">
        <f>Pamp_4th!C25</f>
        <v>17190000</v>
      </c>
      <c r="V31" s="614">
        <f>Pamp_4th!D25</f>
        <v>4610</v>
      </c>
      <c r="W31" s="616">
        <f>Pamp_4th!E25</f>
        <v>27660000</v>
      </c>
      <c r="X31" s="614">
        <v>3794</v>
      </c>
      <c r="Y31" s="616">
        <f t="shared" si="88"/>
        <v>22764000</v>
      </c>
      <c r="Z31" s="614">
        <f>Pamp_4th!F25</f>
        <v>17</v>
      </c>
      <c r="AA31" s="616">
        <f>Pamp_4th!G25</f>
        <v>19826521.740000002</v>
      </c>
      <c r="AB31" s="614">
        <f>Pamp_4th!H25</f>
        <v>0</v>
      </c>
      <c r="AC31" s="616">
        <f>Pamp_4th!I25</f>
        <v>0</v>
      </c>
      <c r="AD31" s="614">
        <v>31</v>
      </c>
      <c r="AE31" s="616">
        <v>26779000</v>
      </c>
      <c r="AF31" s="614"/>
      <c r="AG31" s="616">
        <v>4850000</v>
      </c>
      <c r="AH31" s="614">
        <f>Pamp_4th!L25</f>
        <v>1809</v>
      </c>
      <c r="AI31" s="616">
        <f>Pamp_4th!M25</f>
        <v>7176538</v>
      </c>
      <c r="AJ31" s="614"/>
      <c r="AK31" s="616"/>
      <c r="AL31" s="818">
        <f>C31+I31+O31+U31+AA31</f>
        <v>343742521.74000001</v>
      </c>
      <c r="AM31" s="818">
        <f>E31+K31+Q31+W31+AC31</f>
        <v>239488581</v>
      </c>
      <c r="AN31" s="818">
        <f>G31+M31+S31+Y31+AE31</f>
        <v>360154744</v>
      </c>
      <c r="BE31" s="614"/>
      <c r="BF31" s="616"/>
      <c r="BG31" s="614">
        <f>Pamp_4th!D45</f>
        <v>13</v>
      </c>
      <c r="BH31" s="616">
        <f>Pamp_4th!E45</f>
        <v>46299</v>
      </c>
      <c r="BI31" s="614"/>
      <c r="BJ31" s="616"/>
    </row>
    <row r="32" spans="1:62" s="48" customFormat="1" x14ac:dyDescent="0.25">
      <c r="A32" s="807" t="s">
        <v>299</v>
      </c>
      <c r="B32" s="808">
        <f>B33+B34+B35</f>
        <v>40171</v>
      </c>
      <c r="C32" s="809">
        <f>SUM(C33:C35)</f>
        <v>602565000</v>
      </c>
      <c r="D32" s="808">
        <f>D33+D34+D35</f>
        <v>39770</v>
      </c>
      <c r="E32" s="809">
        <f>SUM(E33:E35)</f>
        <v>422011600</v>
      </c>
      <c r="F32" s="808">
        <f>F33+F34+F35</f>
        <v>40179</v>
      </c>
      <c r="G32" s="809">
        <f t="shared" ref="G32:M32" si="89">SUM(G33:G35)</f>
        <v>602685000</v>
      </c>
      <c r="H32" s="808">
        <f t="shared" si="89"/>
        <v>4132</v>
      </c>
      <c r="I32" s="809">
        <f t="shared" si="89"/>
        <v>41320000</v>
      </c>
      <c r="J32" s="808">
        <f t="shared" ref="J32:K32" si="90">SUM(J33:J35)</f>
        <v>1534</v>
      </c>
      <c r="K32" s="809">
        <f t="shared" si="90"/>
        <v>8355000</v>
      </c>
      <c r="L32" s="808">
        <f t="shared" si="89"/>
        <v>4393</v>
      </c>
      <c r="M32" s="809">
        <f t="shared" si="89"/>
        <v>43929200</v>
      </c>
      <c r="N32" s="808">
        <f t="shared" ref="N32:S32" si="91">SUM(N33:N35)</f>
        <v>25800</v>
      </c>
      <c r="O32" s="809">
        <f t="shared" si="91"/>
        <v>40248000</v>
      </c>
      <c r="P32" s="808">
        <f t="shared" ref="P32:Q32" si="92">SUM(P33:P35)</f>
        <v>26645</v>
      </c>
      <c r="Q32" s="809">
        <f t="shared" si="92"/>
        <v>22428685</v>
      </c>
      <c r="R32" s="808">
        <f t="shared" si="91"/>
        <v>27168</v>
      </c>
      <c r="S32" s="809">
        <f t="shared" si="91"/>
        <v>48902400</v>
      </c>
      <c r="T32" s="808">
        <f t="shared" ref="T32:X32" si="93">SUM(T33:T35)</f>
        <v>8201</v>
      </c>
      <c r="U32" s="809">
        <f t="shared" si="93"/>
        <v>49206000</v>
      </c>
      <c r="V32" s="808">
        <f t="shared" ref="V32:W32" si="94">SUM(V33:V35)</f>
        <v>13022</v>
      </c>
      <c r="W32" s="809">
        <f t="shared" si="94"/>
        <v>78132000</v>
      </c>
      <c r="X32" s="808">
        <f t="shared" si="93"/>
        <v>8779</v>
      </c>
      <c r="Y32" s="809">
        <f>SUM(Y33:Y35)</f>
        <v>52674000</v>
      </c>
      <c r="Z32" s="808">
        <f t="shared" ref="Z32:AA32" si="95">SUM(Z33:Z35)</f>
        <v>25</v>
      </c>
      <c r="AA32" s="809">
        <f t="shared" si="95"/>
        <v>31314861</v>
      </c>
      <c r="AB32" s="808">
        <f t="shared" ref="AB32:AC32" si="96">SUM(AB33:AB35)</f>
        <v>0</v>
      </c>
      <c r="AC32" s="809">
        <f t="shared" si="96"/>
        <v>0</v>
      </c>
      <c r="AD32" s="808">
        <f t="shared" ref="AD32:AM32" si="97">SUM(AD33:AD35)</f>
        <v>1</v>
      </c>
      <c r="AE32" s="809">
        <f t="shared" si="97"/>
        <v>610000</v>
      </c>
      <c r="AF32" s="808">
        <f t="shared" si="97"/>
        <v>0</v>
      </c>
      <c r="AG32" s="809">
        <f t="shared" si="97"/>
        <v>7760000</v>
      </c>
      <c r="AH32" s="808">
        <f t="shared" si="97"/>
        <v>5863</v>
      </c>
      <c r="AI32" s="809">
        <f t="shared" si="97"/>
        <v>13478722</v>
      </c>
      <c r="AJ32" s="808">
        <f t="shared" ref="AJ32:AK32" si="98">SUM(AJ33:AJ35)</f>
        <v>0</v>
      </c>
      <c r="AK32" s="809">
        <f t="shared" si="98"/>
        <v>0</v>
      </c>
      <c r="AL32" s="809">
        <f t="shared" si="97"/>
        <v>764653861</v>
      </c>
      <c r="AM32" s="809">
        <f t="shared" si="97"/>
        <v>530927285</v>
      </c>
      <c r="AN32" s="809">
        <f t="shared" ref="AN32" si="99">SUM(AN33:AN35)</f>
        <v>748800600</v>
      </c>
      <c r="BE32" s="808">
        <f t="shared" ref="BE32:BJ32" si="100">SUM(BE33:BE35)</f>
        <v>0</v>
      </c>
      <c r="BF32" s="809">
        <f t="shared" si="100"/>
        <v>0</v>
      </c>
      <c r="BG32" s="808">
        <f t="shared" si="100"/>
        <v>3</v>
      </c>
      <c r="BH32" s="809">
        <f t="shared" si="100"/>
        <v>1700</v>
      </c>
      <c r="BI32" s="808">
        <f t="shared" si="100"/>
        <v>0</v>
      </c>
      <c r="BJ32" s="809">
        <f t="shared" si="100"/>
        <v>0</v>
      </c>
    </row>
    <row r="33" spans="1:62" x14ac:dyDescent="0.25">
      <c r="A33" s="813" t="s">
        <v>278</v>
      </c>
      <c r="B33" s="614">
        <v>12586</v>
      </c>
      <c r="C33" s="616">
        <v>188790000</v>
      </c>
      <c r="D33" s="614">
        <f>Tar_1st!D12</f>
        <v>12388</v>
      </c>
      <c r="E33" s="616">
        <f>Tar_1st!E12</f>
        <v>128871700</v>
      </c>
      <c r="F33" s="614">
        <v>12586</v>
      </c>
      <c r="G33" s="616">
        <v>188790000</v>
      </c>
      <c r="H33" s="614">
        <f>Tar_1st!F12</f>
        <v>1558</v>
      </c>
      <c r="I33" s="616">
        <f>Tar_1st!G12</f>
        <v>15580000</v>
      </c>
      <c r="J33" s="614">
        <f>Tar_1st!H12</f>
        <v>473</v>
      </c>
      <c r="K33" s="616">
        <f>Tar_1st!I12</f>
        <v>2435000</v>
      </c>
      <c r="L33" s="614">
        <v>1669</v>
      </c>
      <c r="M33" s="616">
        <v>16693096</v>
      </c>
      <c r="N33" s="614">
        <f>Tar_1st!J12</f>
        <v>9200</v>
      </c>
      <c r="O33" s="616">
        <f>Tar_1st!K12</f>
        <v>14352000</v>
      </c>
      <c r="P33" s="614">
        <f>Tar_1st!L12</f>
        <v>9636</v>
      </c>
      <c r="Q33" s="616">
        <f>Tar_1st!M12</f>
        <v>11615053</v>
      </c>
      <c r="R33" s="614">
        <v>9577</v>
      </c>
      <c r="S33" s="616">
        <v>17238600</v>
      </c>
      <c r="T33" s="614">
        <f>Tar_1st!B27</f>
        <v>3342</v>
      </c>
      <c r="U33" s="616">
        <f>Tar_1st!C27</f>
        <v>20052000</v>
      </c>
      <c r="V33" s="614">
        <f>Tar_1st!D27</f>
        <v>5171</v>
      </c>
      <c r="W33" s="616">
        <f>Tar_1st!E27</f>
        <v>31026000</v>
      </c>
      <c r="X33" s="614">
        <v>4503</v>
      </c>
      <c r="Y33" s="616">
        <f t="shared" si="88"/>
        <v>27018000</v>
      </c>
      <c r="Z33" s="614">
        <f>Tar_1st!F27</f>
        <v>13</v>
      </c>
      <c r="AA33" s="616">
        <f>Tar_1st!G27</f>
        <v>16078301</v>
      </c>
      <c r="AB33" s="614">
        <f>Tar_1st!H27</f>
        <v>0</v>
      </c>
      <c r="AC33" s="616">
        <f>Tar_1st!I27</f>
        <v>0</v>
      </c>
      <c r="AD33" s="614"/>
      <c r="AE33" s="616"/>
      <c r="AF33" s="614"/>
      <c r="AG33" s="616"/>
      <c r="AH33" s="614">
        <f>Tar_1st!L27</f>
        <v>4761</v>
      </c>
      <c r="AI33" s="616">
        <f>Tar_1st!M27</f>
        <v>8378500</v>
      </c>
      <c r="AJ33" s="614"/>
      <c r="AK33" s="616"/>
      <c r="AL33" s="818">
        <f>C33+I33+O33+U33+AA33</f>
        <v>254852301</v>
      </c>
      <c r="AM33" s="818">
        <f>E33+K33+Q33+W33+AC33</f>
        <v>173947753</v>
      </c>
      <c r="AN33" s="818">
        <f>G33+M33+S33+Y33+AE33</f>
        <v>249739696</v>
      </c>
      <c r="BE33" s="614"/>
      <c r="BF33" s="616"/>
      <c r="BG33" s="614">
        <f>Tar_1st!D42</f>
        <v>2</v>
      </c>
      <c r="BH33" s="616">
        <f>Tar_1st!E42</f>
        <v>1200</v>
      </c>
      <c r="BI33" s="614"/>
      <c r="BJ33" s="616"/>
    </row>
    <row r="34" spans="1:62" x14ac:dyDescent="0.25">
      <c r="A34" s="813" t="s">
        <v>397</v>
      </c>
      <c r="B34" s="614">
        <v>15811</v>
      </c>
      <c r="C34" s="616">
        <v>237165000</v>
      </c>
      <c r="D34" s="614">
        <f>Tar_2nd!D12</f>
        <v>15620</v>
      </c>
      <c r="E34" s="616">
        <f>Tar_2nd!E12</f>
        <v>162100300</v>
      </c>
      <c r="F34" s="614">
        <v>15819</v>
      </c>
      <c r="G34" s="616">
        <v>237285000</v>
      </c>
      <c r="H34" s="614">
        <f>Tar_2nd!F12</f>
        <v>1994</v>
      </c>
      <c r="I34" s="616">
        <f>Tar_2nd!G12</f>
        <v>19940000</v>
      </c>
      <c r="J34" s="614">
        <f>Tar_2nd!H12</f>
        <v>290</v>
      </c>
      <c r="K34" s="616">
        <f>Tar_2nd!I12</f>
        <v>2100000</v>
      </c>
      <c r="L34" s="614">
        <v>2109</v>
      </c>
      <c r="M34" s="616">
        <v>21086016</v>
      </c>
      <c r="N34" s="614">
        <f>Tar_2nd!J12</f>
        <v>9800</v>
      </c>
      <c r="O34" s="616">
        <f>Tar_2nd!K12</f>
        <v>15288000</v>
      </c>
      <c r="P34" s="614">
        <f>Tar_2nd!L12</f>
        <v>8999</v>
      </c>
      <c r="Q34" s="616">
        <f>Tar_2nd!M12</f>
        <v>4561440</v>
      </c>
      <c r="R34" s="614">
        <v>10039</v>
      </c>
      <c r="S34" s="616">
        <v>18070200</v>
      </c>
      <c r="T34" s="614">
        <f>Tar_1st!B27</f>
        <v>3342</v>
      </c>
      <c r="U34" s="616">
        <f>Tar_1st!C27</f>
        <v>20052000</v>
      </c>
      <c r="V34" s="614">
        <f>Tar_1st!D27</f>
        <v>5171</v>
      </c>
      <c r="W34" s="616">
        <f>Tar_1st!E27</f>
        <v>31026000</v>
      </c>
      <c r="X34" s="614">
        <v>2294</v>
      </c>
      <c r="Y34" s="616">
        <f t="shared" si="88"/>
        <v>13764000</v>
      </c>
      <c r="Z34" s="614">
        <f>Tar_2nd!F21</f>
        <v>7</v>
      </c>
      <c r="AA34" s="616">
        <f>Tar_2nd!G21</f>
        <v>8487000</v>
      </c>
      <c r="AB34" s="614">
        <f>Tar_2nd!H21</f>
        <v>0</v>
      </c>
      <c r="AC34" s="616">
        <f>Tar_2nd!I21</f>
        <v>0</v>
      </c>
      <c r="AD34" s="614"/>
      <c r="AE34" s="616"/>
      <c r="AF34" s="614"/>
      <c r="AG34" s="616">
        <v>2910000</v>
      </c>
      <c r="AH34" s="614">
        <f>Tar_2nd!L21</f>
        <v>574</v>
      </c>
      <c r="AI34" s="616">
        <f>Tar_2nd!M21</f>
        <v>2181800</v>
      </c>
      <c r="AJ34" s="614"/>
      <c r="AK34" s="616"/>
      <c r="AL34" s="818">
        <f>C34+I34+O34+U34+AA34</f>
        <v>300932000</v>
      </c>
      <c r="AM34" s="818">
        <f>E34+K34+Q34+W34+AC34</f>
        <v>199787740</v>
      </c>
      <c r="AN34" s="818">
        <f>G34+M34+S34+Y34+AE34</f>
        <v>290205216</v>
      </c>
      <c r="BE34" s="614"/>
      <c r="BF34" s="616"/>
      <c r="BG34" s="614">
        <f>Tar_2nd!D30</f>
        <v>1</v>
      </c>
      <c r="BH34" s="616">
        <f>Tar_2nd!E30</f>
        <v>500</v>
      </c>
      <c r="BI34" s="614"/>
      <c r="BJ34" s="616"/>
    </row>
    <row r="35" spans="1:62" x14ac:dyDescent="0.25">
      <c r="A35" s="813" t="s">
        <v>406</v>
      </c>
      <c r="B35" s="614">
        <v>11774</v>
      </c>
      <c r="C35" s="616">
        <v>176610000</v>
      </c>
      <c r="D35" s="614">
        <f>Tar_3rd!D12</f>
        <v>11762</v>
      </c>
      <c r="E35" s="616">
        <f>Tar_3rd!E12</f>
        <v>131039600</v>
      </c>
      <c r="F35" s="614">
        <v>11774</v>
      </c>
      <c r="G35" s="616">
        <v>176610000</v>
      </c>
      <c r="H35" s="614">
        <f>Tar_3rd!F12</f>
        <v>580</v>
      </c>
      <c r="I35" s="616">
        <f>Tar_3rd!G12</f>
        <v>5800000</v>
      </c>
      <c r="J35" s="614">
        <f>Tar_3rd!H12</f>
        <v>771</v>
      </c>
      <c r="K35" s="616">
        <f>Tar_3rd!I12</f>
        <v>3820000</v>
      </c>
      <c r="L35" s="614">
        <v>615</v>
      </c>
      <c r="M35" s="616">
        <v>6150088</v>
      </c>
      <c r="N35" s="614">
        <f>Tar_3rd!J12</f>
        <v>6800</v>
      </c>
      <c r="O35" s="616">
        <f>Tar_3rd!K12</f>
        <v>10608000</v>
      </c>
      <c r="P35" s="614">
        <f>Tar_3rd!L12</f>
        <v>8010</v>
      </c>
      <c r="Q35" s="616">
        <f>Tar_3rd!M12</f>
        <v>6252192</v>
      </c>
      <c r="R35" s="614">
        <v>7552</v>
      </c>
      <c r="S35" s="616">
        <v>13593600</v>
      </c>
      <c r="T35" s="614">
        <f>Tar_3rd!B21</f>
        <v>1517</v>
      </c>
      <c r="U35" s="616">
        <f>Tar_3rd!C21</f>
        <v>9102000</v>
      </c>
      <c r="V35" s="614">
        <f>Tar_3rd!D21</f>
        <v>2680</v>
      </c>
      <c r="W35" s="616">
        <f>Tar_3rd!E21</f>
        <v>16080000</v>
      </c>
      <c r="X35" s="614">
        <v>1982</v>
      </c>
      <c r="Y35" s="616">
        <f t="shared" si="88"/>
        <v>11892000</v>
      </c>
      <c r="Z35" s="614">
        <f>Tar_3rd!F21</f>
        <v>5</v>
      </c>
      <c r="AA35" s="616">
        <f>Tar_3rd!G21</f>
        <v>6749560</v>
      </c>
      <c r="AB35" s="614">
        <f>Tar_3rd!H21</f>
        <v>0</v>
      </c>
      <c r="AC35" s="616">
        <f>Tar_3rd!I21</f>
        <v>0</v>
      </c>
      <c r="AD35" s="614">
        <v>1</v>
      </c>
      <c r="AE35" s="616">
        <v>610000</v>
      </c>
      <c r="AF35" s="614"/>
      <c r="AG35" s="616">
        <v>4850000</v>
      </c>
      <c r="AH35" s="614">
        <f>Tar_3rd!L21</f>
        <v>528</v>
      </c>
      <c r="AI35" s="616">
        <f>Tar_3rd!M21</f>
        <v>2918422</v>
      </c>
      <c r="AJ35" s="614"/>
      <c r="AK35" s="616"/>
      <c r="AL35" s="818">
        <f>C35+I35+O35+U35+AA35</f>
        <v>208869560</v>
      </c>
      <c r="AM35" s="818">
        <f>E35+K35+Q35+W35+AC35</f>
        <v>157191792</v>
      </c>
      <c r="AN35" s="818">
        <f>G35+M35+S35+Y35+AE35</f>
        <v>208855688</v>
      </c>
      <c r="BE35" s="614"/>
      <c r="BF35" s="616"/>
      <c r="BG35" s="614">
        <f>Tar_3rd!D30</f>
        <v>0</v>
      </c>
      <c r="BH35" s="616">
        <f>Tar_3rd!E30</f>
        <v>0</v>
      </c>
      <c r="BI35" s="614"/>
      <c r="BJ35" s="616"/>
    </row>
    <row r="36" spans="1:62" s="48" customFormat="1" x14ac:dyDescent="0.25">
      <c r="A36" s="807" t="s">
        <v>300</v>
      </c>
      <c r="B36" s="808">
        <f>B37+B38</f>
        <v>19810</v>
      </c>
      <c r="C36" s="809">
        <f>SUM(C37:C38)</f>
        <v>297150000</v>
      </c>
      <c r="D36" s="808">
        <f>D37+D38</f>
        <v>19210</v>
      </c>
      <c r="E36" s="809">
        <f>SUM(E37:E38)</f>
        <v>199368500</v>
      </c>
      <c r="F36" s="808">
        <f>F37+F38</f>
        <v>21813</v>
      </c>
      <c r="G36" s="809">
        <f t="shared" ref="G36:M36" si="101">SUM(G37:G38)</f>
        <v>327195000</v>
      </c>
      <c r="H36" s="808">
        <f t="shared" si="101"/>
        <v>2116</v>
      </c>
      <c r="I36" s="809">
        <f t="shared" si="101"/>
        <v>21160000</v>
      </c>
      <c r="J36" s="808">
        <f t="shared" ref="J36:K36" si="102">SUM(J37:J38)</f>
        <v>1035</v>
      </c>
      <c r="K36" s="809">
        <f t="shared" si="102"/>
        <v>6279235</v>
      </c>
      <c r="L36" s="808">
        <f t="shared" si="101"/>
        <v>2510</v>
      </c>
      <c r="M36" s="809">
        <f t="shared" si="101"/>
        <v>25102400</v>
      </c>
      <c r="N36" s="808">
        <f t="shared" ref="N36:S36" si="103">SUM(N37:N38)</f>
        <v>9700</v>
      </c>
      <c r="O36" s="809">
        <f t="shared" si="103"/>
        <v>15132000</v>
      </c>
      <c r="P36" s="808">
        <f t="shared" ref="P36:Q36" si="104">SUM(P37:P38)</f>
        <v>7969</v>
      </c>
      <c r="Q36" s="809">
        <f t="shared" si="104"/>
        <v>6662880</v>
      </c>
      <c r="R36" s="808">
        <f t="shared" si="103"/>
        <v>9875</v>
      </c>
      <c r="S36" s="809">
        <f t="shared" si="103"/>
        <v>17775000</v>
      </c>
      <c r="T36" s="808">
        <f t="shared" ref="T36:X36" si="105">SUM(T37:T38)</f>
        <v>4484</v>
      </c>
      <c r="U36" s="809">
        <f t="shared" si="105"/>
        <v>26904000</v>
      </c>
      <c r="V36" s="808">
        <f t="shared" ref="V36:W36" si="106">SUM(V37:V38)</f>
        <v>5324</v>
      </c>
      <c r="W36" s="809">
        <f t="shared" si="106"/>
        <v>31944000</v>
      </c>
      <c r="X36" s="808">
        <f t="shared" si="105"/>
        <v>6115</v>
      </c>
      <c r="Y36" s="809">
        <f>SUM(Y37:Y38)</f>
        <v>36690000</v>
      </c>
      <c r="Z36" s="808">
        <f t="shared" ref="Z36:AA36" si="107">SUM(Z37:Z38)</f>
        <v>33</v>
      </c>
      <c r="AA36" s="809">
        <f t="shared" si="107"/>
        <v>40461360</v>
      </c>
      <c r="AB36" s="808">
        <f t="shared" ref="AB36:AC36" si="108">SUM(AB37:AB38)</f>
        <v>0</v>
      </c>
      <c r="AC36" s="809">
        <f t="shared" si="108"/>
        <v>0</v>
      </c>
      <c r="AD36" s="808">
        <f t="shared" ref="AD36:AM36" si="109">SUM(AD37:AD38)</f>
        <v>30</v>
      </c>
      <c r="AE36" s="809">
        <f t="shared" si="109"/>
        <v>27225500</v>
      </c>
      <c r="AF36" s="808">
        <f t="shared" si="109"/>
        <v>0</v>
      </c>
      <c r="AG36" s="809">
        <f t="shared" si="109"/>
        <v>33950000</v>
      </c>
      <c r="AH36" s="808">
        <f t="shared" si="109"/>
        <v>3426</v>
      </c>
      <c r="AI36" s="809">
        <f t="shared" si="109"/>
        <v>13129589</v>
      </c>
      <c r="AJ36" s="808">
        <f t="shared" ref="AJ36:AK36" si="110">SUM(AJ37:AJ38)</f>
        <v>0</v>
      </c>
      <c r="AK36" s="809">
        <f t="shared" si="110"/>
        <v>0</v>
      </c>
      <c r="AL36" s="809">
        <f t="shared" si="109"/>
        <v>400807360</v>
      </c>
      <c r="AM36" s="809">
        <f t="shared" si="109"/>
        <v>244254615</v>
      </c>
      <c r="AN36" s="809">
        <f t="shared" ref="AN36" si="111">SUM(AN37:AN38)</f>
        <v>433987900</v>
      </c>
      <c r="BE36" s="808">
        <f t="shared" ref="BE36:BJ36" si="112">SUM(BE37:BE38)</f>
        <v>0</v>
      </c>
      <c r="BF36" s="809">
        <f t="shared" si="112"/>
        <v>0</v>
      </c>
      <c r="BG36" s="808">
        <f t="shared" si="112"/>
        <v>0</v>
      </c>
      <c r="BH36" s="809">
        <f t="shared" si="112"/>
        <v>0</v>
      </c>
      <c r="BI36" s="808">
        <f t="shared" si="112"/>
        <v>0</v>
      </c>
      <c r="BJ36" s="809">
        <f t="shared" si="112"/>
        <v>0</v>
      </c>
    </row>
    <row r="37" spans="1:62" x14ac:dyDescent="0.25">
      <c r="A37" s="813" t="s">
        <v>278</v>
      </c>
      <c r="B37" s="614">
        <v>6924</v>
      </c>
      <c r="C37" s="616">
        <v>103860000</v>
      </c>
      <c r="D37" s="614">
        <f>Zamb_1st!D12</f>
        <v>6612</v>
      </c>
      <c r="E37" s="616">
        <f>Zamb_1st!E12</f>
        <v>66715900</v>
      </c>
      <c r="F37" s="614">
        <v>7240</v>
      </c>
      <c r="G37" s="616">
        <v>108600000</v>
      </c>
      <c r="H37" s="614">
        <f>Zamb_1st!F12</f>
        <v>786</v>
      </c>
      <c r="I37" s="616">
        <f>Zamb_1st!G12</f>
        <v>7860000</v>
      </c>
      <c r="J37" s="614">
        <f>Zamb_1st!H12</f>
        <v>190</v>
      </c>
      <c r="K37" s="616">
        <f>Zamb_1st!I12</f>
        <v>1491005</v>
      </c>
      <c r="L37" s="614">
        <v>929</v>
      </c>
      <c r="M37" s="616">
        <v>9287888</v>
      </c>
      <c r="N37" s="614">
        <f>Zamb_1st!J12</f>
        <v>3400</v>
      </c>
      <c r="O37" s="616">
        <f>Zamb_1st!K12</f>
        <v>5304000</v>
      </c>
      <c r="P37" s="614">
        <f>Zamb_1st!L12</f>
        <v>3703</v>
      </c>
      <c r="Q37" s="616">
        <f>Zamb_1st!M12</f>
        <v>2489760</v>
      </c>
      <c r="R37" s="614">
        <v>4057</v>
      </c>
      <c r="S37" s="616">
        <v>7302600</v>
      </c>
      <c r="T37" s="614">
        <f>Zamb_1st!B21</f>
        <v>1296</v>
      </c>
      <c r="U37" s="616">
        <f>Zamb_1st!C21</f>
        <v>7776000</v>
      </c>
      <c r="V37" s="614">
        <f>Zamb_1st!D21</f>
        <v>1377</v>
      </c>
      <c r="W37" s="616">
        <f>Zamb_1st!E21</f>
        <v>8262000</v>
      </c>
      <c r="X37" s="614">
        <v>1766</v>
      </c>
      <c r="Y37" s="616">
        <f t="shared" si="88"/>
        <v>10596000</v>
      </c>
      <c r="Z37" s="614">
        <f>Zamb_1st!F21</f>
        <v>8</v>
      </c>
      <c r="AA37" s="616">
        <f>Zamb_1st!G21</f>
        <v>14560000</v>
      </c>
      <c r="AB37" s="614">
        <f>Zamb_1st!H21</f>
        <v>0</v>
      </c>
      <c r="AC37" s="616">
        <f>Zamb_1st!I21</f>
        <v>0</v>
      </c>
      <c r="AD37" s="614">
        <v>4</v>
      </c>
      <c r="AE37" s="616">
        <v>4600000</v>
      </c>
      <c r="AF37" s="614"/>
      <c r="AG37" s="616">
        <v>14550000</v>
      </c>
      <c r="AH37" s="614">
        <f>Zamb_1st!L21</f>
        <v>2353</v>
      </c>
      <c r="AI37" s="616">
        <f>Zamb_1st!M21</f>
        <v>9526589</v>
      </c>
      <c r="AJ37" s="614"/>
      <c r="AK37" s="616"/>
      <c r="AL37" s="818">
        <f>C37+I37+O37+U37+AA37</f>
        <v>139360000</v>
      </c>
      <c r="AM37" s="818">
        <f>E37+K37+Q37+W37+AC37</f>
        <v>78958665</v>
      </c>
      <c r="AN37" s="818">
        <f>G37+M37+S37+Y37+AE37</f>
        <v>140386488</v>
      </c>
      <c r="BE37" s="614"/>
      <c r="BF37" s="616"/>
      <c r="BG37" s="614">
        <f>Zamb_1st!D30</f>
        <v>0</v>
      </c>
      <c r="BH37" s="616">
        <f>Zamb_1st!E30</f>
        <v>0</v>
      </c>
      <c r="BI37" s="614"/>
      <c r="BJ37" s="616"/>
    </row>
    <row r="38" spans="1:62" x14ac:dyDescent="0.25">
      <c r="A38" s="813" t="s">
        <v>397</v>
      </c>
      <c r="B38" s="614">
        <v>12886</v>
      </c>
      <c r="C38" s="616">
        <v>193290000</v>
      </c>
      <c r="D38" s="614">
        <f>Zamb_2nd!D12</f>
        <v>12598</v>
      </c>
      <c r="E38" s="616">
        <f>Zamb_2nd!E12</f>
        <v>132652600</v>
      </c>
      <c r="F38" s="614">
        <v>14573</v>
      </c>
      <c r="G38" s="616">
        <v>218595000</v>
      </c>
      <c r="H38" s="614">
        <f>Zamb_2nd!F12</f>
        <v>1330</v>
      </c>
      <c r="I38" s="616">
        <f>Zamb_2nd!G12</f>
        <v>13300000</v>
      </c>
      <c r="J38" s="614">
        <f>Zamb_2nd!H12</f>
        <v>845</v>
      </c>
      <c r="K38" s="616">
        <f>Zamb_2nd!I12</f>
        <v>4788230</v>
      </c>
      <c r="L38" s="614">
        <v>1581</v>
      </c>
      <c r="M38" s="616">
        <v>15814512</v>
      </c>
      <c r="N38" s="614">
        <f>Zamb_2nd!J12</f>
        <v>6300</v>
      </c>
      <c r="O38" s="616">
        <f>Zamb_2nd!K12</f>
        <v>9828000</v>
      </c>
      <c r="P38" s="614">
        <f>Zamb_2nd!L12</f>
        <v>4266</v>
      </c>
      <c r="Q38" s="616">
        <f>Zamb_2nd!M12</f>
        <v>4173120</v>
      </c>
      <c r="R38" s="614">
        <v>5818</v>
      </c>
      <c r="S38" s="616">
        <v>10472400</v>
      </c>
      <c r="T38" s="614">
        <f>Zamb_2nd!B27</f>
        <v>3188</v>
      </c>
      <c r="U38" s="616">
        <f>Zamb_2nd!C27</f>
        <v>19128000</v>
      </c>
      <c r="V38" s="614">
        <f>Zamb_2nd!D27</f>
        <v>3947</v>
      </c>
      <c r="W38" s="616">
        <f>Zamb_2nd!E27</f>
        <v>23682000</v>
      </c>
      <c r="X38" s="614">
        <v>4349</v>
      </c>
      <c r="Y38" s="616">
        <f t="shared" si="88"/>
        <v>26094000</v>
      </c>
      <c r="Z38" s="614">
        <f>Zamb_2nd!F27</f>
        <v>25</v>
      </c>
      <c r="AA38" s="616">
        <f>Zamb_2nd!G27</f>
        <v>25901360</v>
      </c>
      <c r="AB38" s="614">
        <f>Zamb_2nd!H27</f>
        <v>0</v>
      </c>
      <c r="AC38" s="616">
        <f>Zamb_2nd!I27</f>
        <v>0</v>
      </c>
      <c r="AD38" s="614">
        <v>26</v>
      </c>
      <c r="AE38" s="616">
        <v>22625500</v>
      </c>
      <c r="AF38" s="614"/>
      <c r="AG38" s="616">
        <v>19400000</v>
      </c>
      <c r="AH38" s="614">
        <f>Zamb_2nd!L27</f>
        <v>1073</v>
      </c>
      <c r="AI38" s="616">
        <f>Zamb_2nd!M27</f>
        <v>3603000</v>
      </c>
      <c r="AJ38" s="614"/>
      <c r="AK38" s="616"/>
      <c r="AL38" s="818">
        <f>C38+I38+O38+U38+AA38</f>
        <v>261447360</v>
      </c>
      <c r="AM38" s="818">
        <f>E38+K38+Q38+W38+AC38</f>
        <v>165295950</v>
      </c>
      <c r="AN38" s="818">
        <f>G38+M38+S38+Y38+AE38</f>
        <v>293601412</v>
      </c>
      <c r="BE38" s="614"/>
      <c r="BF38" s="616"/>
      <c r="BG38" s="614">
        <f>Zamb_2nd!D49</f>
        <v>0</v>
      </c>
      <c r="BH38" s="616">
        <f>Zamb_2nd!E49</f>
        <v>0</v>
      </c>
      <c r="BI38" s="614"/>
      <c r="BJ38" s="616"/>
    </row>
  </sheetData>
  <mergeCells count="31">
    <mergeCell ref="R8:S8"/>
    <mergeCell ref="N7:S7"/>
    <mergeCell ref="AG3:AH3"/>
    <mergeCell ref="L8:M8"/>
    <mergeCell ref="H7:M7"/>
    <mergeCell ref="N8:O8"/>
    <mergeCell ref="P8:Q8"/>
    <mergeCell ref="H8:I8"/>
    <mergeCell ref="J8:K8"/>
    <mergeCell ref="T8:U8"/>
    <mergeCell ref="V8:W8"/>
    <mergeCell ref="X8:Y8"/>
    <mergeCell ref="T7:Y7"/>
    <mergeCell ref="Z8:AA8"/>
    <mergeCell ref="A7:A10"/>
    <mergeCell ref="B7:G7"/>
    <mergeCell ref="B8:C8"/>
    <mergeCell ref="D8:E8"/>
    <mergeCell ref="F8:G8"/>
    <mergeCell ref="BE7:BJ7"/>
    <mergeCell ref="BE8:BF8"/>
    <mergeCell ref="BG8:BH8"/>
    <mergeCell ref="BI8:BJ8"/>
    <mergeCell ref="AB8:AC8"/>
    <mergeCell ref="AD8:AE8"/>
    <mergeCell ref="Z7:AE7"/>
    <mergeCell ref="AL7:AN7"/>
    <mergeCell ref="AF8:AG8"/>
    <mergeCell ref="AH8:AI8"/>
    <mergeCell ref="AF7:AK7"/>
    <mergeCell ref="AJ8:AK8"/>
  </mergeCells>
  <pageMargins left="1.17" right="0.7" top="0.75" bottom="0.75" header="0.3" footer="0.3"/>
  <pageSetup paperSize="9" scale="7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selection activeCell="A6" sqref="A6:F12"/>
    </sheetView>
  </sheetViews>
  <sheetFormatPr defaultRowHeight="15" x14ac:dyDescent="0.25"/>
  <cols>
    <col min="1" max="1" width="30.85546875" customWidth="1"/>
    <col min="2" max="2" width="42" customWidth="1"/>
    <col min="3" max="3" width="13.42578125" customWidth="1"/>
    <col min="4" max="4" width="20.28515625" customWidth="1"/>
    <col min="5" max="5" width="10.85546875" customWidth="1"/>
    <col min="6" max="6" width="16.42578125" style="97" customWidth="1"/>
    <col min="7" max="7" width="11.140625" customWidth="1"/>
    <col min="8" max="8" width="19.5703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04"/>
      <c r="B3" s="204"/>
      <c r="C3" s="204"/>
      <c r="D3" s="204"/>
      <c r="E3" s="204"/>
      <c r="F3" s="90"/>
      <c r="G3" s="204"/>
      <c r="H3" s="204"/>
    </row>
    <row r="4" spans="1:8" s="47" customFormat="1" ht="15.75" x14ac:dyDescent="0.25">
      <c r="A4" s="844" t="s">
        <v>230</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139">
        <f>F11+F14+F17+F20+F31+F73</f>
        <v>77820540</v>
      </c>
      <c r="G9" s="11"/>
      <c r="H9" s="139">
        <f>H11+H14+H17+H20+H31+H73</f>
        <v>215802600</v>
      </c>
    </row>
    <row r="10" spans="1:8" s="8" customFormat="1" ht="8.25" customHeight="1" x14ac:dyDescent="0.25">
      <c r="A10" s="7"/>
      <c r="B10" s="7"/>
      <c r="C10" s="7"/>
      <c r="D10" s="7"/>
      <c r="E10" s="7"/>
      <c r="F10" s="93"/>
      <c r="G10" s="7"/>
      <c r="H10" s="7"/>
    </row>
    <row r="11" spans="1:8" s="3" customFormat="1" ht="19.5" customHeight="1" x14ac:dyDescent="0.25">
      <c r="A11" s="926" t="s">
        <v>5</v>
      </c>
      <c r="B11" s="831" t="s">
        <v>50</v>
      </c>
      <c r="C11" s="1070" t="s">
        <v>21</v>
      </c>
      <c r="D11" s="70" t="s">
        <v>99</v>
      </c>
      <c r="E11" s="70">
        <f>SUM(E12)</f>
        <v>12923</v>
      </c>
      <c r="F11" s="84">
        <f>SUM(F12)</f>
        <v>75139200</v>
      </c>
      <c r="G11" s="70">
        <f>SUM(G12)</f>
        <v>13533</v>
      </c>
      <c r="H11" s="84">
        <f>SUM(H12)</f>
        <v>202995000</v>
      </c>
    </row>
    <row r="12" spans="1:8" s="3" customFormat="1" ht="105" customHeight="1" x14ac:dyDescent="0.25">
      <c r="A12" s="927"/>
      <c r="B12" s="832"/>
      <c r="C12" s="1071"/>
      <c r="D12" s="238" t="s">
        <v>117</v>
      </c>
      <c r="E12" s="30">
        <v>12923</v>
      </c>
      <c r="F12" s="37">
        <v>75139200</v>
      </c>
      <c r="G12" s="4">
        <v>13533</v>
      </c>
      <c r="H12" s="17">
        <v>202995000</v>
      </c>
    </row>
    <row r="13" spans="1:8" s="8" customFormat="1" ht="8.25" customHeight="1" x14ac:dyDescent="0.25">
      <c r="A13" s="7"/>
      <c r="B13" s="7"/>
      <c r="C13" s="7"/>
      <c r="D13" s="7"/>
      <c r="E13" s="7"/>
      <c r="F13" s="93"/>
      <c r="G13" s="7"/>
      <c r="H13" s="7"/>
    </row>
    <row r="14" spans="1:8" s="9" customFormat="1" ht="20.25" customHeight="1" x14ac:dyDescent="0.25">
      <c r="A14" s="926" t="s">
        <v>7</v>
      </c>
      <c r="B14" s="832" t="s">
        <v>52</v>
      </c>
      <c r="C14" s="1070" t="s">
        <v>53</v>
      </c>
      <c r="D14" s="70" t="s">
        <v>99</v>
      </c>
      <c r="E14" s="70">
        <f>SUM(E15)</f>
        <v>135</v>
      </c>
      <c r="F14" s="84">
        <f>SUM(F15)</f>
        <v>1395000</v>
      </c>
      <c r="G14" s="70">
        <f>SUM(G15)</f>
        <v>90</v>
      </c>
      <c r="H14" s="84">
        <f>SUM(H15)</f>
        <v>450000</v>
      </c>
    </row>
    <row r="15" spans="1:8" s="9" customFormat="1" ht="108" customHeight="1" x14ac:dyDescent="0.25">
      <c r="A15" s="927"/>
      <c r="B15" s="832"/>
      <c r="C15" s="1071"/>
      <c r="D15" s="238" t="s">
        <v>117</v>
      </c>
      <c r="E15" s="30">
        <f>120+15</f>
        <v>135</v>
      </c>
      <c r="F15" s="37">
        <f>1245000+150000</f>
        <v>1395000</v>
      </c>
      <c r="G15" s="4">
        <v>90</v>
      </c>
      <c r="H15" s="17">
        <v>450000</v>
      </c>
    </row>
    <row r="16" spans="1:8" s="8" customFormat="1" ht="8.25" customHeight="1" x14ac:dyDescent="0.25">
      <c r="A16" s="7"/>
      <c r="B16" s="7"/>
      <c r="C16" s="7"/>
      <c r="D16" s="7"/>
      <c r="E16" s="7"/>
      <c r="F16" s="93"/>
      <c r="G16" s="7"/>
      <c r="H16" s="7"/>
    </row>
    <row r="17" spans="1:8" s="9" customFormat="1" ht="15.75" customHeight="1" x14ac:dyDescent="0.25">
      <c r="A17" s="926" t="s">
        <v>6</v>
      </c>
      <c r="B17" s="831" t="s">
        <v>54</v>
      </c>
      <c r="C17" s="1048" t="s">
        <v>20</v>
      </c>
      <c r="D17" s="70" t="s">
        <v>99</v>
      </c>
      <c r="E17" s="70">
        <f>SUM(E18)</f>
        <v>0</v>
      </c>
      <c r="F17" s="84">
        <f>SUM(F18)</f>
        <v>0</v>
      </c>
      <c r="G17" s="70">
        <f>SUM(G18)</f>
        <v>6260</v>
      </c>
      <c r="H17" s="84">
        <f>SUM(H18)</f>
        <v>9765600</v>
      </c>
    </row>
    <row r="18" spans="1:8" s="9" customFormat="1" ht="48" customHeight="1" x14ac:dyDescent="0.25">
      <c r="A18" s="927"/>
      <c r="B18" s="832"/>
      <c r="C18" s="1049"/>
      <c r="D18" s="238" t="s">
        <v>117</v>
      </c>
      <c r="E18" s="30"/>
      <c r="F18" s="37"/>
      <c r="G18" s="4">
        <v>6260</v>
      </c>
      <c r="H18" s="17">
        <v>9765600</v>
      </c>
    </row>
    <row r="19" spans="1:8" s="8" customFormat="1" ht="8.25" customHeight="1" x14ac:dyDescent="0.25">
      <c r="A19" s="7"/>
      <c r="B19" s="7"/>
      <c r="C19" s="7"/>
      <c r="D19" s="7"/>
      <c r="E19" s="7"/>
      <c r="F19" s="93"/>
      <c r="G19" s="7"/>
      <c r="H19" s="7"/>
    </row>
    <row r="20" spans="1:8" s="9" customFormat="1" ht="21.75" customHeight="1" x14ac:dyDescent="0.25">
      <c r="A20" s="926" t="s">
        <v>16</v>
      </c>
      <c r="B20" s="856" t="s">
        <v>55</v>
      </c>
      <c r="C20" s="1048" t="s">
        <v>19</v>
      </c>
      <c r="D20" s="224" t="s">
        <v>99</v>
      </c>
      <c r="E20" s="224">
        <f>SUM(E21)</f>
        <v>332</v>
      </c>
      <c r="F20" s="231">
        <f>SUM(F21)</f>
        <v>1190000</v>
      </c>
      <c r="G20" s="224">
        <f>SUM(G21)</f>
        <v>432</v>
      </c>
      <c r="H20" s="231">
        <f>SUM(H21)</f>
        <v>2592000</v>
      </c>
    </row>
    <row r="21" spans="1:8" s="9" customFormat="1" ht="53.25" customHeight="1" x14ac:dyDescent="0.25">
      <c r="A21" s="927"/>
      <c r="B21" s="921"/>
      <c r="C21" s="1069"/>
      <c r="D21" s="238" t="s">
        <v>117</v>
      </c>
      <c r="E21" s="30">
        <v>332</v>
      </c>
      <c r="F21" s="37">
        <v>1190000</v>
      </c>
      <c r="G21" s="4">
        <v>432</v>
      </c>
      <c r="H21" s="17">
        <v>2592000</v>
      </c>
    </row>
    <row r="22" spans="1:8" s="182" customFormat="1" ht="8.25" customHeight="1" x14ac:dyDescent="0.25">
      <c r="F22" s="183"/>
    </row>
    <row r="23" spans="1:8" s="182" customFormat="1" ht="8.25" customHeight="1" x14ac:dyDescent="0.25">
      <c r="F23" s="183"/>
    </row>
    <row r="24" spans="1:8" s="182" customFormat="1" ht="8.25" customHeight="1" x14ac:dyDescent="0.25">
      <c r="F24" s="183"/>
    </row>
    <row r="25" spans="1:8" s="182" customFormat="1" ht="8.25" customHeight="1" x14ac:dyDescent="0.25">
      <c r="F25" s="183"/>
    </row>
    <row r="26" spans="1:8" s="182" customFormat="1" ht="8.25" customHeight="1" x14ac:dyDescent="0.25">
      <c r="F26" s="183"/>
    </row>
    <row r="27" spans="1:8" s="182" customFormat="1" ht="8.25" customHeight="1" x14ac:dyDescent="0.25">
      <c r="F27" s="183"/>
    </row>
    <row r="28" spans="1:8" s="182" customFormat="1" ht="8.25" customHeight="1" x14ac:dyDescent="0.25">
      <c r="F28" s="183"/>
    </row>
    <row r="29" spans="1:8" s="182" customFormat="1" ht="8.25" customHeight="1" x14ac:dyDescent="0.25">
      <c r="F29" s="183"/>
    </row>
    <row r="30" spans="1:8" s="182" customFormat="1" ht="8.25" customHeight="1" x14ac:dyDescent="0.25">
      <c r="F30" s="183"/>
    </row>
    <row r="31" spans="1:8" s="9" customFormat="1" ht="15.75" customHeight="1" x14ac:dyDescent="0.25">
      <c r="A31" s="926" t="s">
        <v>17</v>
      </c>
      <c r="B31" s="923" t="s">
        <v>56</v>
      </c>
      <c r="C31" s="1067" t="s">
        <v>18</v>
      </c>
      <c r="D31" s="70" t="s">
        <v>99</v>
      </c>
      <c r="E31" s="70">
        <f>SUM(E32)</f>
        <v>24</v>
      </c>
      <c r="F31" s="84">
        <f>SUM(F32)</f>
        <v>34465</v>
      </c>
      <c r="G31" s="70">
        <f>SUM(G32)</f>
        <v>0</v>
      </c>
      <c r="H31" s="84">
        <f>SUM(H32)</f>
        <v>0</v>
      </c>
    </row>
    <row r="32" spans="1:8" s="9" customFormat="1" ht="48.75" customHeight="1" x14ac:dyDescent="0.25">
      <c r="A32" s="927"/>
      <c r="B32" s="924"/>
      <c r="C32" s="1068"/>
      <c r="D32" s="238" t="s">
        <v>117</v>
      </c>
      <c r="E32" s="30">
        <f>3+3+8+10</f>
        <v>24</v>
      </c>
      <c r="F32" s="37">
        <f>3500+3300+16050+11615</f>
        <v>34465</v>
      </c>
      <c r="G32" s="4"/>
      <c r="H32" s="17"/>
    </row>
    <row r="33" spans="1:8" s="8" customFormat="1" ht="8.25" customHeight="1" x14ac:dyDescent="0.25">
      <c r="A33" s="7"/>
      <c r="B33" s="7"/>
      <c r="C33" s="7"/>
      <c r="D33" s="7"/>
      <c r="E33" s="7"/>
      <c r="F33" s="93"/>
      <c r="G33" s="7"/>
      <c r="H33" s="7"/>
    </row>
    <row r="34" spans="1:8" s="9" customFormat="1" ht="34.5" hidden="1" customHeight="1" x14ac:dyDescent="0.25">
      <c r="A34" s="6" t="s">
        <v>22</v>
      </c>
      <c r="B34" s="831" t="s">
        <v>57</v>
      </c>
      <c r="C34" s="239" t="s">
        <v>37</v>
      </c>
      <c r="D34" s="6"/>
      <c r="E34" s="42">
        <f>SUM(E35:E40)</f>
        <v>227</v>
      </c>
      <c r="F34" s="94">
        <f>SUM(F35:F40)</f>
        <v>562960</v>
      </c>
      <c r="G34" s="6"/>
      <c r="H34" s="6"/>
    </row>
    <row r="35" spans="1:8" s="1" customFormat="1" ht="15" hidden="1" customHeight="1" x14ac:dyDescent="0.25">
      <c r="A35" s="972" t="s">
        <v>35</v>
      </c>
      <c r="B35" s="832"/>
      <c r="C35" s="240"/>
      <c r="D35" s="4" t="s">
        <v>42</v>
      </c>
      <c r="E35" s="44"/>
      <c r="F35" s="41"/>
      <c r="G35" s="5"/>
      <c r="H35" s="4" t="s">
        <v>8</v>
      </c>
    </row>
    <row r="36" spans="1:8" s="1" customFormat="1" ht="15" hidden="1" customHeight="1" x14ac:dyDescent="0.25">
      <c r="A36" s="918"/>
      <c r="B36" s="833"/>
      <c r="C36" s="240"/>
      <c r="D36" s="4" t="s">
        <v>43</v>
      </c>
      <c r="E36" s="44"/>
      <c r="F36" s="38"/>
      <c r="G36" s="5"/>
      <c r="H36" s="4" t="s">
        <v>9</v>
      </c>
    </row>
    <row r="37" spans="1:8" s="1" customFormat="1" ht="15" hidden="1" customHeight="1" x14ac:dyDescent="0.25">
      <c r="A37" s="918"/>
      <c r="B37" s="201"/>
      <c r="C37" s="240"/>
      <c r="D37" s="4" t="s">
        <v>44</v>
      </c>
      <c r="E37" s="45">
        <v>227</v>
      </c>
      <c r="F37" s="39">
        <v>562960</v>
      </c>
      <c r="G37" s="5"/>
      <c r="H37" s="4" t="s">
        <v>10</v>
      </c>
    </row>
    <row r="38" spans="1:8" s="1" customFormat="1" ht="15" hidden="1" customHeight="1" x14ac:dyDescent="0.25">
      <c r="A38" s="918"/>
      <c r="B38" s="201"/>
      <c r="C38" s="240"/>
      <c r="D38" s="4" t="s">
        <v>45</v>
      </c>
      <c r="E38" s="44"/>
      <c r="F38" s="39"/>
      <c r="G38" s="5"/>
      <c r="H38" s="4" t="s">
        <v>11</v>
      </c>
    </row>
    <row r="39" spans="1:8" s="1" customFormat="1" ht="15" hidden="1" customHeight="1" x14ac:dyDescent="0.25">
      <c r="A39" s="918"/>
      <c r="B39" s="201"/>
      <c r="C39" s="240"/>
      <c r="D39" s="4" t="s">
        <v>46</v>
      </c>
      <c r="E39" s="44"/>
      <c r="F39" s="39"/>
      <c r="G39" s="5"/>
      <c r="H39" s="4" t="s">
        <v>12</v>
      </c>
    </row>
    <row r="40" spans="1:8" s="1" customFormat="1" ht="15" hidden="1" customHeight="1" x14ac:dyDescent="0.25">
      <c r="A40" s="918"/>
      <c r="B40" s="201"/>
      <c r="C40" s="240"/>
      <c r="D40" s="4" t="s">
        <v>47</v>
      </c>
      <c r="E40" s="44"/>
      <c r="F40" s="40"/>
      <c r="G40" s="5"/>
      <c r="H40" s="4" t="s">
        <v>13</v>
      </c>
    </row>
    <row r="41" spans="1:8" s="8" customFormat="1" ht="8.25" hidden="1" customHeight="1" x14ac:dyDescent="0.25">
      <c r="A41" s="7"/>
      <c r="B41" s="7"/>
      <c r="C41" s="236"/>
      <c r="D41" s="7"/>
      <c r="E41" s="7"/>
      <c r="F41" s="93"/>
      <c r="G41" s="7"/>
      <c r="H41" s="7"/>
    </row>
    <row r="42" spans="1:8" s="9" customFormat="1" ht="30" hidden="1" customHeight="1" x14ac:dyDescent="0.25">
      <c r="A42" s="200" t="s">
        <v>63</v>
      </c>
      <c r="B42" s="831" t="s">
        <v>64</v>
      </c>
      <c r="C42" s="241" t="s">
        <v>65</v>
      </c>
      <c r="D42" s="132" t="s">
        <v>81</v>
      </c>
      <c r="E42" s="147">
        <f>SUM(E45:E49)</f>
        <v>0</v>
      </c>
      <c r="F42" s="137">
        <f>SUM(F45:F49)</f>
        <v>0</v>
      </c>
      <c r="G42" s="207" t="e">
        <f>G43+#REF!</f>
        <v>#REF!</v>
      </c>
      <c r="H42" s="69" t="e">
        <f>H43+#REF!</f>
        <v>#REF!</v>
      </c>
    </row>
    <row r="43" spans="1:8" s="9" customFormat="1" ht="30" hidden="1" customHeight="1" x14ac:dyDescent="0.25">
      <c r="A43" s="198"/>
      <c r="B43" s="879"/>
      <c r="C43" s="239"/>
      <c r="D43" s="70" t="s">
        <v>79</v>
      </c>
      <c r="E43" s="64"/>
      <c r="F43" s="95"/>
      <c r="G43" s="63">
        <f>SUM(G44:G49)</f>
        <v>24</v>
      </c>
      <c r="H43" s="78">
        <f>SUM(H44:H49)</f>
        <v>800000</v>
      </c>
    </row>
    <row r="44" spans="1:8" s="16" customFormat="1" ht="15" hidden="1" customHeight="1" x14ac:dyDescent="0.25">
      <c r="A44" s="869"/>
      <c r="B44" s="879"/>
      <c r="C44" s="239"/>
      <c r="D44" s="83" t="s">
        <v>91</v>
      </c>
      <c r="E44" s="44"/>
      <c r="F44" s="41"/>
      <c r="G44" s="15"/>
      <c r="H44" s="53"/>
    </row>
    <row r="45" spans="1:8" s="1" customFormat="1" ht="15" hidden="1" customHeight="1" x14ac:dyDescent="0.25">
      <c r="A45" s="870"/>
      <c r="B45" s="879"/>
      <c r="C45" s="240"/>
      <c r="D45" s="83" t="s">
        <v>92</v>
      </c>
      <c r="E45" s="44"/>
      <c r="F45" s="38"/>
      <c r="G45" s="20"/>
      <c r="H45" s="17"/>
    </row>
    <row r="46" spans="1:8" s="1" customFormat="1" ht="15" hidden="1" customHeight="1" x14ac:dyDescent="0.25">
      <c r="A46" s="55"/>
      <c r="B46" s="879"/>
      <c r="C46" s="240"/>
      <c r="D46" s="83" t="s">
        <v>93</v>
      </c>
      <c r="E46" s="44"/>
      <c r="F46" s="39"/>
      <c r="G46" s="20">
        <v>4</v>
      </c>
      <c r="H46" s="17">
        <v>40000</v>
      </c>
    </row>
    <row r="47" spans="1:8" s="1" customFormat="1" ht="15" hidden="1" customHeight="1" x14ac:dyDescent="0.25">
      <c r="A47" s="55"/>
      <c r="B47" s="879"/>
      <c r="C47" s="240"/>
      <c r="D47" s="83" t="s">
        <v>94</v>
      </c>
      <c r="E47" s="44"/>
      <c r="F47" s="39"/>
      <c r="G47" s="20">
        <v>14</v>
      </c>
      <c r="H47" s="17">
        <f>700000</f>
        <v>700000</v>
      </c>
    </row>
    <row r="48" spans="1:8" s="1" customFormat="1" ht="15" hidden="1" customHeight="1" x14ac:dyDescent="0.25">
      <c r="A48" s="55"/>
      <c r="B48" s="879"/>
      <c r="C48" s="240"/>
      <c r="D48" s="83" t="s">
        <v>95</v>
      </c>
      <c r="E48" s="44"/>
      <c r="F48" s="39"/>
      <c r="G48" s="20"/>
      <c r="H48" s="17"/>
    </row>
    <row r="49" spans="1:8" s="1" customFormat="1" ht="15" hidden="1" customHeight="1" x14ac:dyDescent="0.25">
      <c r="A49" s="56"/>
      <c r="B49" s="966"/>
      <c r="C49" s="240"/>
      <c r="D49" s="83" t="s">
        <v>96</v>
      </c>
      <c r="E49" s="44"/>
      <c r="F49" s="62"/>
      <c r="G49" s="20">
        <v>6</v>
      </c>
      <c r="H49" s="17">
        <v>60000</v>
      </c>
    </row>
    <row r="50" spans="1:8" s="2" customFormat="1" ht="24" hidden="1" customHeight="1" x14ac:dyDescent="0.25">
      <c r="A50" s="201"/>
      <c r="B50" s="202"/>
      <c r="C50" s="242"/>
      <c r="D50" s="70" t="s">
        <v>80</v>
      </c>
      <c r="E50" s="70">
        <f>SUM(E51:E57)</f>
        <v>0</v>
      </c>
      <c r="F50" s="84">
        <f>SUM(F51:F57)</f>
        <v>0</v>
      </c>
      <c r="G50" s="70">
        <f>SUM(G51:G57)</f>
        <v>0</v>
      </c>
      <c r="H50" s="71">
        <f>SUM(H51:H57)</f>
        <v>0</v>
      </c>
    </row>
    <row r="51" spans="1:8" s="2" customFormat="1" ht="14.25" hidden="1" customHeight="1" x14ac:dyDescent="0.25">
      <c r="A51" s="201"/>
      <c r="B51" s="202"/>
      <c r="C51" s="239"/>
      <c r="D51" s="83" t="s">
        <v>100</v>
      </c>
      <c r="E51" s="30"/>
      <c r="F51" s="37"/>
      <c r="G51" s="4"/>
      <c r="H51" s="17"/>
    </row>
    <row r="52" spans="1:8" s="2" customFormat="1" ht="14.25" hidden="1" customHeight="1" x14ac:dyDescent="0.25">
      <c r="A52" s="201"/>
      <c r="B52" s="202"/>
      <c r="C52" s="239"/>
      <c r="D52" s="83" t="s">
        <v>101</v>
      </c>
      <c r="E52" s="30"/>
      <c r="F52" s="37"/>
      <c r="G52" s="4"/>
      <c r="H52" s="17"/>
    </row>
    <row r="53" spans="1:8" s="2" customFormat="1" ht="14.25" hidden="1" customHeight="1" x14ac:dyDescent="0.25">
      <c r="A53" s="201"/>
      <c r="B53" s="202"/>
      <c r="C53" s="239"/>
      <c r="D53" s="83" t="s">
        <v>102</v>
      </c>
      <c r="E53" s="30"/>
      <c r="F53" s="37"/>
      <c r="G53" s="4"/>
      <c r="H53" s="17"/>
    </row>
    <row r="54" spans="1:8" s="2" customFormat="1" ht="14.25" hidden="1" customHeight="1" x14ac:dyDescent="0.25">
      <c r="A54" s="201"/>
      <c r="B54" s="202"/>
      <c r="C54" s="239"/>
      <c r="D54" s="83" t="s">
        <v>103</v>
      </c>
      <c r="E54" s="30"/>
      <c r="F54" s="37"/>
      <c r="G54" s="4"/>
      <c r="H54" s="17"/>
    </row>
    <row r="55" spans="1:8" s="2" customFormat="1" ht="14.25" hidden="1" customHeight="1" x14ac:dyDescent="0.25">
      <c r="A55" s="201"/>
      <c r="B55" s="202"/>
      <c r="C55" s="239"/>
      <c r="D55" s="83" t="s">
        <v>104</v>
      </c>
      <c r="E55" s="30"/>
      <c r="F55" s="37"/>
      <c r="G55" s="4"/>
      <c r="H55" s="17"/>
    </row>
    <row r="56" spans="1:8" s="2" customFormat="1" ht="14.25" hidden="1" customHeight="1" x14ac:dyDescent="0.25">
      <c r="A56" s="201"/>
      <c r="B56" s="202"/>
      <c r="C56" s="239"/>
      <c r="D56" s="83" t="s">
        <v>105</v>
      </c>
      <c r="E56" s="30"/>
      <c r="F56" s="37"/>
      <c r="G56" s="4"/>
      <c r="H56" s="17"/>
    </row>
    <row r="57" spans="1:8" s="2" customFormat="1" ht="14.25" hidden="1" customHeight="1" x14ac:dyDescent="0.25">
      <c r="A57" s="201"/>
      <c r="B57" s="202"/>
      <c r="C57" s="239"/>
      <c r="D57" s="83" t="s">
        <v>106</v>
      </c>
      <c r="E57" s="30"/>
      <c r="F57" s="37"/>
      <c r="G57" s="4"/>
      <c r="H57" s="17"/>
    </row>
    <row r="58" spans="1:8" s="2" customFormat="1" ht="24" hidden="1" customHeight="1" x14ac:dyDescent="0.25">
      <c r="A58" s="201"/>
      <c r="B58" s="202"/>
      <c r="C58" s="242"/>
      <c r="D58" s="70" t="s">
        <v>97</v>
      </c>
      <c r="E58" s="70">
        <f>SUM(E59:E64)</f>
        <v>0</v>
      </c>
      <c r="F58" s="84">
        <f>SUM(F59:F64)</f>
        <v>0</v>
      </c>
      <c r="G58" s="70">
        <f>SUM(G59:G64)</f>
        <v>0</v>
      </c>
      <c r="H58" s="71">
        <f>SUM(H59:H64)</f>
        <v>0</v>
      </c>
    </row>
    <row r="59" spans="1:8" s="2" customFormat="1" ht="14.25" hidden="1" customHeight="1" x14ac:dyDescent="0.25">
      <c r="A59" s="201"/>
      <c r="B59" s="202"/>
      <c r="C59" s="239"/>
      <c r="D59" s="83" t="s">
        <v>107</v>
      </c>
      <c r="E59" s="30"/>
      <c r="F59" s="37"/>
      <c r="G59" s="4"/>
      <c r="H59" s="17"/>
    </row>
    <row r="60" spans="1:8" s="2" customFormat="1" ht="14.25" hidden="1" customHeight="1" x14ac:dyDescent="0.25">
      <c r="A60" s="201"/>
      <c r="B60" s="202"/>
      <c r="C60" s="239"/>
      <c r="D60" s="83" t="s">
        <v>108</v>
      </c>
      <c r="E60" s="30"/>
      <c r="F60" s="37"/>
      <c r="G60" s="4"/>
      <c r="H60" s="17"/>
    </row>
    <row r="61" spans="1:8" s="2" customFormat="1" ht="14.25" hidden="1" customHeight="1" x14ac:dyDescent="0.25">
      <c r="A61" s="201"/>
      <c r="B61" s="202"/>
      <c r="C61" s="239"/>
      <c r="D61" s="83" t="s">
        <v>109</v>
      </c>
      <c r="E61" s="30"/>
      <c r="F61" s="37"/>
      <c r="G61" s="4"/>
      <c r="H61" s="17"/>
    </row>
    <row r="62" spans="1:8" s="2" customFormat="1" ht="14.25" hidden="1" customHeight="1" x14ac:dyDescent="0.25">
      <c r="A62" s="201"/>
      <c r="B62" s="202"/>
      <c r="C62" s="239"/>
      <c r="D62" s="83" t="s">
        <v>110</v>
      </c>
      <c r="E62" s="30"/>
      <c r="F62" s="37"/>
      <c r="G62" s="4"/>
      <c r="H62" s="17"/>
    </row>
    <row r="63" spans="1:8" s="2" customFormat="1" ht="14.25" hidden="1" customHeight="1" x14ac:dyDescent="0.25">
      <c r="A63" s="201"/>
      <c r="B63" s="202"/>
      <c r="C63" s="239"/>
      <c r="D63" s="83" t="s">
        <v>111</v>
      </c>
      <c r="E63" s="30"/>
      <c r="F63" s="37"/>
      <c r="G63" s="4"/>
      <c r="H63" s="17"/>
    </row>
    <row r="64" spans="1:8" s="2" customFormat="1" ht="14.25" hidden="1" customHeight="1" x14ac:dyDescent="0.25">
      <c r="A64" s="201"/>
      <c r="B64" s="202"/>
      <c r="C64" s="239"/>
      <c r="D64" s="83" t="s">
        <v>112</v>
      </c>
      <c r="E64" s="30"/>
      <c r="F64" s="37"/>
      <c r="G64" s="4"/>
      <c r="H64" s="17"/>
    </row>
    <row r="65" spans="1:8" s="2" customFormat="1" ht="24" hidden="1" customHeight="1" x14ac:dyDescent="0.25">
      <c r="A65" s="201"/>
      <c r="B65" s="202"/>
      <c r="C65" s="242"/>
      <c r="D65" s="70" t="s">
        <v>98</v>
      </c>
      <c r="E65" s="70">
        <f>SUM(E66:E69)</f>
        <v>0</v>
      </c>
      <c r="F65" s="84">
        <f>SUM(F66:F69)</f>
        <v>0</v>
      </c>
      <c r="G65" s="70">
        <f>SUM(G66:G69)</f>
        <v>0</v>
      </c>
      <c r="H65" s="71">
        <f>SUM(H66:H69)</f>
        <v>0</v>
      </c>
    </row>
    <row r="66" spans="1:8" s="2" customFormat="1" ht="14.25" hidden="1" customHeight="1" x14ac:dyDescent="0.25">
      <c r="A66" s="201"/>
      <c r="B66" s="202"/>
      <c r="C66" s="239"/>
      <c r="D66" s="83" t="s">
        <v>113</v>
      </c>
      <c r="E66" s="30"/>
      <c r="F66" s="37"/>
      <c r="G66" s="4"/>
      <c r="H66" s="17"/>
    </row>
    <row r="67" spans="1:8" s="2" customFormat="1" ht="14.25" hidden="1" customHeight="1" x14ac:dyDescent="0.25">
      <c r="A67" s="201"/>
      <c r="B67" s="202"/>
      <c r="C67" s="239"/>
      <c r="D67" s="83" t="s">
        <v>114</v>
      </c>
      <c r="E67" s="30"/>
      <c r="F67" s="37"/>
      <c r="G67" s="4"/>
      <c r="H67" s="17"/>
    </row>
    <row r="68" spans="1:8" s="2" customFormat="1" ht="14.25" hidden="1" customHeight="1" x14ac:dyDescent="0.25">
      <c r="A68" s="201"/>
      <c r="B68" s="202"/>
      <c r="C68" s="239"/>
      <c r="D68" s="83" t="s">
        <v>115</v>
      </c>
      <c r="E68" s="30"/>
      <c r="F68" s="37"/>
      <c r="G68" s="4"/>
      <c r="H68" s="17"/>
    </row>
    <row r="69" spans="1:8" s="2" customFormat="1" ht="14.25" hidden="1" customHeight="1" x14ac:dyDescent="0.25">
      <c r="A69" s="201"/>
      <c r="B69" s="202"/>
      <c r="C69" s="239"/>
      <c r="D69" s="83" t="s">
        <v>116</v>
      </c>
      <c r="E69" s="30"/>
      <c r="F69" s="37"/>
      <c r="G69" s="4"/>
      <c r="H69" s="17"/>
    </row>
    <row r="70" spans="1:8" s="2" customFormat="1" ht="24" hidden="1" customHeight="1" x14ac:dyDescent="0.25">
      <c r="A70" s="201"/>
      <c r="B70" s="202"/>
      <c r="C70" s="242"/>
      <c r="D70" s="70" t="s">
        <v>99</v>
      </c>
      <c r="E70" s="70">
        <f>SUM(E71)</f>
        <v>0</v>
      </c>
      <c r="F70" s="84">
        <f>SUM(F71)</f>
        <v>0</v>
      </c>
      <c r="G70" s="70">
        <f>SUM(G71)</f>
        <v>0</v>
      </c>
      <c r="H70" s="84">
        <f>SUM(H71)</f>
        <v>0</v>
      </c>
    </row>
    <row r="71" spans="1:8" s="2" customFormat="1" ht="14.25" hidden="1" customHeight="1" x14ac:dyDescent="0.25">
      <c r="A71" s="201"/>
      <c r="B71" s="202"/>
      <c r="C71" s="239"/>
      <c r="D71" s="83" t="s">
        <v>117</v>
      </c>
      <c r="E71" s="30"/>
      <c r="F71" s="37"/>
      <c r="G71" s="4"/>
      <c r="H71" s="17"/>
    </row>
    <row r="72" spans="1:8" s="8" customFormat="1" ht="8.25" hidden="1" customHeight="1" x14ac:dyDescent="0.25">
      <c r="A72" s="60"/>
      <c r="B72" s="60"/>
      <c r="C72" s="237"/>
      <c r="D72" s="60"/>
      <c r="E72" s="60"/>
      <c r="F72" s="96"/>
      <c r="G72" s="60"/>
      <c r="H72" s="60"/>
    </row>
    <row r="73" spans="1:8" s="9" customFormat="1" ht="23.25" customHeight="1" x14ac:dyDescent="0.25">
      <c r="A73" s="926" t="s">
        <v>67</v>
      </c>
      <c r="B73" s="831" t="s">
        <v>68</v>
      </c>
      <c r="C73" s="1067" t="s">
        <v>65</v>
      </c>
      <c r="D73" s="70" t="s">
        <v>99</v>
      </c>
      <c r="E73" s="70">
        <f>SUM(E74)</f>
        <v>250</v>
      </c>
      <c r="F73" s="84">
        <f>SUM(F74)</f>
        <v>61875</v>
      </c>
      <c r="G73" s="70">
        <f>SUM(G74)</f>
        <v>0</v>
      </c>
      <c r="H73" s="84">
        <f>SUM(H74)</f>
        <v>0</v>
      </c>
    </row>
    <row r="74" spans="1:8" s="9" customFormat="1" ht="89.25" customHeight="1" x14ac:dyDescent="0.25">
      <c r="A74" s="927"/>
      <c r="B74" s="833"/>
      <c r="C74" s="1068"/>
      <c r="D74" s="238" t="s">
        <v>117</v>
      </c>
      <c r="E74" s="30">
        <f>250</f>
        <v>250</v>
      </c>
      <c r="F74" s="37">
        <f>61875</f>
        <v>61875</v>
      </c>
      <c r="G74" s="4"/>
      <c r="H74" s="17"/>
    </row>
    <row r="75" spans="1:8" x14ac:dyDescent="0.25">
      <c r="A75" t="s">
        <v>26</v>
      </c>
      <c r="B75" t="s">
        <v>28</v>
      </c>
      <c r="D75" t="s">
        <v>31</v>
      </c>
      <c r="F75"/>
    </row>
    <row r="76" spans="1:8" x14ac:dyDescent="0.25">
      <c r="F76"/>
    </row>
    <row r="77" spans="1:8" x14ac:dyDescent="0.25">
      <c r="F77"/>
    </row>
    <row r="78" spans="1:8" x14ac:dyDescent="0.25">
      <c r="F78"/>
    </row>
    <row r="79" spans="1:8" x14ac:dyDescent="0.25">
      <c r="A79" t="s">
        <v>27</v>
      </c>
      <c r="B79" t="s">
        <v>29</v>
      </c>
      <c r="D79" t="s">
        <v>32</v>
      </c>
      <c r="F79"/>
    </row>
    <row r="80" spans="1:8" x14ac:dyDescent="0.25">
      <c r="A80" t="s">
        <v>223</v>
      </c>
      <c r="B80" t="s">
        <v>30</v>
      </c>
      <c r="D80" t="s">
        <v>33</v>
      </c>
      <c r="F80"/>
    </row>
  </sheetData>
  <mergeCells count="33">
    <mergeCell ref="A11:A12"/>
    <mergeCell ref="B11:B12"/>
    <mergeCell ref="C11:C12"/>
    <mergeCell ref="A1:H1"/>
    <mergeCell ref="A2:H2"/>
    <mergeCell ref="A4:H4"/>
    <mergeCell ref="A5:H5"/>
    <mergeCell ref="A7:A8"/>
    <mergeCell ref="B7:B8"/>
    <mergeCell ref="C7:C8"/>
    <mergeCell ref="D7:D8"/>
    <mergeCell ref="E7:E8"/>
    <mergeCell ref="F7:F8"/>
    <mergeCell ref="G7:H7"/>
    <mergeCell ref="A14:A15"/>
    <mergeCell ref="B14:B15"/>
    <mergeCell ref="C14:C15"/>
    <mergeCell ref="A17:A18"/>
    <mergeCell ref="B17:B18"/>
    <mergeCell ref="C17:C18"/>
    <mergeCell ref="B73:B74"/>
    <mergeCell ref="C73:C74"/>
    <mergeCell ref="B42:B49"/>
    <mergeCell ref="A44:A45"/>
    <mergeCell ref="B20:B21"/>
    <mergeCell ref="C20:C21"/>
    <mergeCell ref="A31:A32"/>
    <mergeCell ref="B31:B32"/>
    <mergeCell ref="C31:C32"/>
    <mergeCell ref="B34:B36"/>
    <mergeCell ref="A35:A40"/>
    <mergeCell ref="A73:A74"/>
    <mergeCell ref="A20:A21"/>
  </mergeCells>
  <printOptions horizontalCentered="1"/>
  <pageMargins left="0.52" right="0.67" top="0.68" bottom="0.69" header="0.3" footer="0.4"/>
  <pageSetup paperSize="9" scale="80" orientation="landscape" verticalDpi="300" r:id="rId1"/>
  <headerFooter>
    <oddFooter>&amp;L5th District of Bulacan
&amp;CPage &amp;P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workbookViewId="0">
      <selection activeCell="A6" sqref="A6:F12"/>
    </sheetView>
  </sheetViews>
  <sheetFormatPr defaultRowHeight="15" x14ac:dyDescent="0.25"/>
  <cols>
    <col min="1" max="1" width="30.85546875" customWidth="1"/>
    <col min="2" max="2" width="42" customWidth="1"/>
    <col min="3" max="3" width="15.85546875" customWidth="1"/>
    <col min="4" max="4" width="20.28515625" customWidth="1"/>
    <col min="5" max="5" width="10.85546875" customWidth="1"/>
    <col min="6" max="6" width="19.7109375" style="97" customWidth="1"/>
    <col min="7" max="7" width="13.140625" customWidth="1"/>
    <col min="8" max="8" width="20.285156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231</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181">
        <f>F11+F22+F29+F45+F56+F67+F81+F143</f>
        <v>186833365.81999999</v>
      </c>
      <c r="G9" s="11"/>
      <c r="H9" s="181">
        <f>H11+H22+H29+H45+H56+H67+H81+H143</f>
        <v>445176960</v>
      </c>
    </row>
    <row r="10" spans="1:8" s="8" customFormat="1" ht="4.5" customHeight="1" x14ac:dyDescent="0.25">
      <c r="A10" s="7"/>
      <c r="B10" s="7"/>
      <c r="C10" s="7"/>
      <c r="D10" s="7"/>
      <c r="E10" s="7"/>
      <c r="F10" s="93"/>
      <c r="G10" s="7"/>
      <c r="H10" s="7"/>
    </row>
    <row r="11" spans="1:8" s="3" customFormat="1" ht="19.5" customHeight="1" x14ac:dyDescent="0.25">
      <c r="A11" s="1067" t="s">
        <v>5</v>
      </c>
      <c r="B11" s="831" t="s">
        <v>50</v>
      </c>
      <c r="C11" s="967" t="s">
        <v>21</v>
      </c>
      <c r="D11" s="70" t="s">
        <v>79</v>
      </c>
      <c r="E11" s="64">
        <f>SUM(E12:E20)</f>
        <v>26011</v>
      </c>
      <c r="F11" s="95">
        <f>SUM(F12:F20)</f>
        <v>159321400</v>
      </c>
      <c r="G11" s="63">
        <f>SUM(G12:G20)</f>
        <v>26807</v>
      </c>
      <c r="H11" s="78">
        <f>SUM(H12:H20)</f>
        <v>402105000</v>
      </c>
    </row>
    <row r="12" spans="1:8" s="9" customFormat="1" ht="21" customHeight="1" x14ac:dyDescent="0.25">
      <c r="A12" s="1072"/>
      <c r="B12" s="832"/>
      <c r="C12" s="968"/>
      <c r="D12" s="83" t="s">
        <v>118</v>
      </c>
      <c r="E12" s="44">
        <v>2566</v>
      </c>
      <c r="F12" s="41">
        <v>16193000</v>
      </c>
      <c r="G12" s="15">
        <v>3289</v>
      </c>
      <c r="H12" s="53">
        <v>49335000</v>
      </c>
    </row>
    <row r="13" spans="1:8" s="16" customFormat="1" ht="15" customHeight="1" x14ac:dyDescent="0.25">
      <c r="A13" s="1072"/>
      <c r="B13" s="832"/>
      <c r="C13" s="15"/>
      <c r="D13" s="83" t="s">
        <v>119</v>
      </c>
      <c r="E13" s="44">
        <v>3235</v>
      </c>
      <c r="F13" s="38">
        <v>19769200</v>
      </c>
      <c r="G13" s="20">
        <v>3394</v>
      </c>
      <c r="H13" s="17">
        <v>50910000</v>
      </c>
    </row>
    <row r="14" spans="1:8" s="1" customFormat="1" x14ac:dyDescent="0.25">
      <c r="A14" s="1072"/>
      <c r="B14" s="832"/>
      <c r="C14" s="5"/>
      <c r="D14" s="83" t="s">
        <v>120</v>
      </c>
      <c r="E14" s="44">
        <v>5750</v>
      </c>
      <c r="F14" s="39">
        <v>35721300</v>
      </c>
      <c r="G14" s="20">
        <v>6043</v>
      </c>
      <c r="H14" s="17">
        <v>90645000</v>
      </c>
    </row>
    <row r="15" spans="1:8" s="1" customFormat="1" x14ac:dyDescent="0.25">
      <c r="A15" s="1072"/>
      <c r="B15" s="832"/>
      <c r="C15" s="5"/>
      <c r="D15" s="83" t="s">
        <v>121</v>
      </c>
      <c r="E15" s="44">
        <v>1517</v>
      </c>
      <c r="F15" s="39">
        <v>9301100</v>
      </c>
      <c r="G15" s="20">
        <v>312</v>
      </c>
      <c r="H15" s="17">
        <v>4680000</v>
      </c>
    </row>
    <row r="16" spans="1:8" s="1" customFormat="1" x14ac:dyDescent="0.25">
      <c r="A16" s="1072"/>
      <c r="B16" s="832"/>
      <c r="C16" s="5"/>
      <c r="D16" s="83" t="s">
        <v>122</v>
      </c>
      <c r="E16" s="44">
        <v>752</v>
      </c>
      <c r="F16" s="39">
        <v>5036500</v>
      </c>
      <c r="G16" s="20">
        <v>808</v>
      </c>
      <c r="H16" s="17">
        <v>12120000</v>
      </c>
    </row>
    <row r="17" spans="1:8" s="1" customFormat="1" x14ac:dyDescent="0.25">
      <c r="A17" s="1072"/>
      <c r="B17" s="832"/>
      <c r="C17" s="5"/>
      <c r="D17" s="83" t="s">
        <v>123</v>
      </c>
      <c r="E17" s="44">
        <v>2452</v>
      </c>
      <c r="F17" s="40">
        <v>15444200</v>
      </c>
      <c r="G17" s="20">
        <v>2698</v>
      </c>
      <c r="H17" s="17">
        <v>40470000</v>
      </c>
    </row>
    <row r="18" spans="1:8" s="1" customFormat="1" x14ac:dyDescent="0.25">
      <c r="A18" s="1072"/>
      <c r="B18" s="832"/>
      <c r="C18" s="5"/>
      <c r="D18" s="83" t="s">
        <v>124</v>
      </c>
      <c r="E18" s="44">
        <v>2295</v>
      </c>
      <c r="F18" s="40">
        <v>13456100</v>
      </c>
      <c r="G18" s="20">
        <v>2444</v>
      </c>
      <c r="H18" s="17">
        <v>36660000</v>
      </c>
    </row>
    <row r="19" spans="1:8" s="1" customFormat="1" x14ac:dyDescent="0.25">
      <c r="A19" s="1072"/>
      <c r="B19" s="832"/>
      <c r="C19" s="5"/>
      <c r="D19" s="83" t="s">
        <v>125</v>
      </c>
      <c r="E19" s="44">
        <v>5330</v>
      </c>
      <c r="F19" s="40">
        <v>31073700</v>
      </c>
      <c r="G19" s="20">
        <v>5601</v>
      </c>
      <c r="H19" s="17">
        <v>84015000</v>
      </c>
    </row>
    <row r="20" spans="1:8" s="1" customFormat="1" x14ac:dyDescent="0.25">
      <c r="A20" s="1068"/>
      <c r="B20" s="832"/>
      <c r="C20" s="5"/>
      <c r="D20" s="83" t="s">
        <v>126</v>
      </c>
      <c r="E20" s="44">
        <v>2114</v>
      </c>
      <c r="F20" s="163">
        <v>13326300</v>
      </c>
      <c r="G20" s="20">
        <v>2218</v>
      </c>
      <c r="H20" s="17">
        <v>33270000</v>
      </c>
    </row>
    <row r="21" spans="1:8" s="8" customFormat="1" ht="4.5" customHeight="1" x14ac:dyDescent="0.25">
      <c r="A21" s="7"/>
      <c r="B21" s="7"/>
      <c r="C21" s="7"/>
      <c r="D21" s="7"/>
      <c r="E21" s="7"/>
      <c r="F21" s="93"/>
      <c r="G21" s="7"/>
      <c r="H21" s="7"/>
    </row>
    <row r="22" spans="1:8" s="9" customFormat="1" ht="18" customHeight="1" x14ac:dyDescent="0.25">
      <c r="A22" s="1067" t="s">
        <v>61</v>
      </c>
      <c r="B22" s="831" t="s">
        <v>62</v>
      </c>
      <c r="C22" s="967" t="s">
        <v>21</v>
      </c>
      <c r="D22" s="70" t="s">
        <v>79</v>
      </c>
      <c r="E22" s="64">
        <f>SUM(E23:E27)</f>
        <v>46</v>
      </c>
      <c r="F22" s="78">
        <f>SUM(F23:F27)</f>
        <v>226600</v>
      </c>
      <c r="G22" s="63">
        <f>SUM(G23:G27)</f>
        <v>0</v>
      </c>
      <c r="H22" s="78">
        <f>SUM(H23:H27)</f>
        <v>0</v>
      </c>
    </row>
    <row r="23" spans="1:8" s="9" customFormat="1" ht="21.75" customHeight="1" x14ac:dyDescent="0.25">
      <c r="A23" s="1072"/>
      <c r="B23" s="832"/>
      <c r="C23" s="968"/>
      <c r="D23" s="83" t="s">
        <v>118</v>
      </c>
      <c r="E23" s="44">
        <v>18</v>
      </c>
      <c r="F23" s="41">
        <v>92800</v>
      </c>
      <c r="G23" s="15"/>
      <c r="H23" s="53"/>
    </row>
    <row r="24" spans="1:8" s="1" customFormat="1" x14ac:dyDescent="0.25">
      <c r="A24" s="1072"/>
      <c r="B24" s="832"/>
      <c r="C24" s="5"/>
      <c r="D24" s="83" t="s">
        <v>123</v>
      </c>
      <c r="E24" s="44">
        <v>3</v>
      </c>
      <c r="F24" s="40">
        <v>9000</v>
      </c>
      <c r="G24" s="20"/>
      <c r="H24" s="17"/>
    </row>
    <row r="25" spans="1:8" s="1" customFormat="1" x14ac:dyDescent="0.25">
      <c r="A25" s="1072"/>
      <c r="B25" s="832"/>
      <c r="C25" s="5"/>
      <c r="D25" s="83" t="s">
        <v>124</v>
      </c>
      <c r="E25" s="44">
        <v>3</v>
      </c>
      <c r="F25" s="40">
        <v>16800</v>
      </c>
      <c r="G25" s="20"/>
      <c r="H25" s="17"/>
    </row>
    <row r="26" spans="1:8" s="1" customFormat="1" x14ac:dyDescent="0.25">
      <c r="A26" s="1072"/>
      <c r="B26" s="832"/>
      <c r="C26" s="5"/>
      <c r="D26" s="83" t="s">
        <v>125</v>
      </c>
      <c r="E26" s="44">
        <v>11</v>
      </c>
      <c r="F26" s="40">
        <v>56800</v>
      </c>
      <c r="G26" s="20"/>
      <c r="H26" s="17"/>
    </row>
    <row r="27" spans="1:8" s="1" customFormat="1" ht="36" customHeight="1" x14ac:dyDescent="0.25">
      <c r="A27" s="1068"/>
      <c r="B27" s="833"/>
      <c r="C27" s="5"/>
      <c r="D27" s="195" t="s">
        <v>126</v>
      </c>
      <c r="E27" s="243">
        <v>11</v>
      </c>
      <c r="F27" s="244">
        <v>51200</v>
      </c>
      <c r="G27" s="196"/>
      <c r="H27" s="197"/>
    </row>
    <row r="28" spans="1:8" s="8" customFormat="1" ht="4.5" customHeight="1" x14ac:dyDescent="0.25">
      <c r="A28" s="7"/>
      <c r="B28" s="7"/>
      <c r="C28" s="7"/>
      <c r="D28" s="7"/>
      <c r="E28" s="7"/>
      <c r="F28" s="93"/>
      <c r="G28" s="7"/>
      <c r="H28" s="7"/>
    </row>
    <row r="29" spans="1:8" s="9" customFormat="1" ht="27" customHeight="1" x14ac:dyDescent="0.25">
      <c r="A29" s="1067" t="s">
        <v>7</v>
      </c>
      <c r="B29" s="831" t="s">
        <v>52</v>
      </c>
      <c r="C29" s="63" t="s">
        <v>53</v>
      </c>
      <c r="D29" s="224" t="s">
        <v>79</v>
      </c>
      <c r="E29" s="64">
        <f>SUM(E30:E38)</f>
        <v>526</v>
      </c>
      <c r="F29" s="78">
        <f>SUM(F30:F38)</f>
        <v>3014000</v>
      </c>
      <c r="G29" s="63">
        <f>SUM(G30:G38)</f>
        <v>495</v>
      </c>
      <c r="H29" s="78">
        <f>SUM(H30:H38)</f>
        <v>2700000</v>
      </c>
    </row>
    <row r="30" spans="1:8" s="9" customFormat="1" ht="30" customHeight="1" x14ac:dyDescent="0.25">
      <c r="A30" s="1072"/>
      <c r="B30" s="832"/>
      <c r="C30" s="6"/>
      <c r="D30" s="83" t="s">
        <v>118</v>
      </c>
      <c r="E30" s="44">
        <f>1</f>
        <v>1</v>
      </c>
      <c r="F30" s="41">
        <f>5000</f>
        <v>5000</v>
      </c>
      <c r="G30" s="15">
        <v>30</v>
      </c>
      <c r="H30" s="53">
        <v>300000</v>
      </c>
    </row>
    <row r="31" spans="1:8" s="16" customFormat="1" ht="15" customHeight="1" x14ac:dyDescent="0.25">
      <c r="A31" s="1072"/>
      <c r="B31" s="832"/>
      <c r="C31" s="15"/>
      <c r="D31" s="83" t="s">
        <v>119</v>
      </c>
      <c r="E31" s="44"/>
      <c r="F31" s="38"/>
      <c r="G31" s="20">
        <v>60</v>
      </c>
      <c r="H31" s="17">
        <v>300000</v>
      </c>
    </row>
    <row r="32" spans="1:8" s="1" customFormat="1" x14ac:dyDescent="0.25">
      <c r="A32" s="1072"/>
      <c r="B32" s="832"/>
      <c r="C32" s="5"/>
      <c r="D32" s="83" t="s">
        <v>120</v>
      </c>
      <c r="E32" s="44">
        <f>1</f>
        <v>1</v>
      </c>
      <c r="F32" s="39">
        <f>5000</f>
        <v>5000</v>
      </c>
      <c r="G32" s="20">
        <v>30</v>
      </c>
      <c r="H32" s="17">
        <v>150000</v>
      </c>
    </row>
    <row r="33" spans="1:8" s="1" customFormat="1" x14ac:dyDescent="0.25">
      <c r="A33" s="1072"/>
      <c r="B33" s="832"/>
      <c r="C33" s="5"/>
      <c r="D33" s="83" t="s">
        <v>121</v>
      </c>
      <c r="E33" s="44">
        <f>315+115</f>
        <v>430</v>
      </c>
      <c r="F33" s="39">
        <f>1879000+575000</f>
        <v>2454000</v>
      </c>
      <c r="G33" s="20">
        <v>150</v>
      </c>
      <c r="H33" s="17">
        <v>750000</v>
      </c>
    </row>
    <row r="34" spans="1:8" s="1" customFormat="1" x14ac:dyDescent="0.25">
      <c r="A34" s="1072"/>
      <c r="B34" s="832"/>
      <c r="C34" s="5"/>
      <c r="D34" s="83" t="s">
        <v>122</v>
      </c>
      <c r="E34" s="44">
        <f>30</f>
        <v>30</v>
      </c>
      <c r="F34" s="39">
        <f>150000</f>
        <v>150000</v>
      </c>
      <c r="G34" s="20">
        <v>30</v>
      </c>
      <c r="H34" s="17">
        <v>150000</v>
      </c>
    </row>
    <row r="35" spans="1:8" s="1" customFormat="1" x14ac:dyDescent="0.25">
      <c r="A35" s="1072"/>
      <c r="B35" s="832"/>
      <c r="C35" s="5"/>
      <c r="D35" s="83" t="s">
        <v>123</v>
      </c>
      <c r="E35" s="44"/>
      <c r="F35" s="40"/>
      <c r="G35" s="20">
        <v>60</v>
      </c>
      <c r="H35" s="17">
        <v>300000</v>
      </c>
    </row>
    <row r="36" spans="1:8" s="1" customFormat="1" x14ac:dyDescent="0.25">
      <c r="A36" s="1072"/>
      <c r="B36" s="212"/>
      <c r="C36" s="5"/>
      <c r="D36" s="83" t="s">
        <v>124</v>
      </c>
      <c r="E36" s="44"/>
      <c r="F36" s="40"/>
      <c r="G36" s="20">
        <v>60</v>
      </c>
      <c r="H36" s="17">
        <v>300000</v>
      </c>
    </row>
    <row r="37" spans="1:8" s="1" customFormat="1" x14ac:dyDescent="0.25">
      <c r="A37" s="1072"/>
      <c r="B37" s="212"/>
      <c r="C37" s="5"/>
      <c r="D37" s="83" t="s">
        <v>125</v>
      </c>
      <c r="E37" s="44">
        <f>34</f>
        <v>34</v>
      </c>
      <c r="F37" s="40">
        <f>163000</f>
        <v>163000</v>
      </c>
      <c r="G37" s="20">
        <v>60</v>
      </c>
      <c r="H37" s="17">
        <v>300000</v>
      </c>
    </row>
    <row r="38" spans="1:8" s="1" customFormat="1" x14ac:dyDescent="0.25">
      <c r="A38" s="1068"/>
      <c r="B38" s="213"/>
      <c r="C38" s="5"/>
      <c r="D38" s="83" t="s">
        <v>126</v>
      </c>
      <c r="E38" s="44">
        <f>30</f>
        <v>30</v>
      </c>
      <c r="F38" s="62">
        <f>237000</f>
        <v>237000</v>
      </c>
      <c r="G38" s="20">
        <v>15</v>
      </c>
      <c r="H38" s="17">
        <v>150000</v>
      </c>
    </row>
    <row r="39" spans="1:8" s="123" customFormat="1" ht="4.5" customHeight="1" x14ac:dyDescent="0.25">
      <c r="F39" s="174"/>
    </row>
    <row r="40" spans="1:8" s="123" customFormat="1" ht="4.5" customHeight="1" x14ac:dyDescent="0.25">
      <c r="F40" s="174"/>
    </row>
    <row r="41" spans="1:8" s="123" customFormat="1" ht="4.5" customHeight="1" x14ac:dyDescent="0.25">
      <c r="F41" s="174"/>
    </row>
    <row r="42" spans="1:8" s="123" customFormat="1" ht="4.5" customHeight="1" x14ac:dyDescent="0.25">
      <c r="F42" s="174"/>
    </row>
    <row r="43" spans="1:8" s="123" customFormat="1" ht="4.5" customHeight="1" x14ac:dyDescent="0.25">
      <c r="F43" s="174"/>
    </row>
    <row r="44" spans="1:8" s="123" customFormat="1" ht="4.5" customHeight="1" x14ac:dyDescent="0.25">
      <c r="F44" s="174"/>
    </row>
    <row r="45" spans="1:8" s="9" customFormat="1" ht="20.25" customHeight="1" x14ac:dyDescent="0.25">
      <c r="A45" s="1067" t="s">
        <v>6</v>
      </c>
      <c r="B45" s="831" t="s">
        <v>54</v>
      </c>
      <c r="C45" s="168" t="s">
        <v>20</v>
      </c>
      <c r="D45" s="70" t="s">
        <v>79</v>
      </c>
      <c r="E45" s="119">
        <f>SUM(E46:E54)</f>
        <v>11657</v>
      </c>
      <c r="F45" s="69">
        <f>SUM(F46:F54)</f>
        <v>15485810</v>
      </c>
      <c r="G45" s="221">
        <f>SUM(G46:G54)</f>
        <v>14891</v>
      </c>
      <c r="H45" s="69">
        <f>SUM(H46:H54)</f>
        <v>23229960</v>
      </c>
    </row>
    <row r="46" spans="1:8" s="9" customFormat="1" ht="18.75" customHeight="1" x14ac:dyDescent="0.25">
      <c r="A46" s="1072"/>
      <c r="B46" s="832"/>
      <c r="C46" s="168"/>
      <c r="D46" s="83" t="s">
        <v>118</v>
      </c>
      <c r="E46" s="44">
        <v>1064</v>
      </c>
      <c r="F46" s="41">
        <v>1672590</v>
      </c>
      <c r="G46" s="15">
        <v>1277</v>
      </c>
      <c r="H46" s="53">
        <v>1992120</v>
      </c>
    </row>
    <row r="47" spans="1:8" s="16" customFormat="1" ht="15" customHeight="1" x14ac:dyDescent="0.25">
      <c r="A47" s="1072"/>
      <c r="B47" s="832"/>
      <c r="C47" s="168"/>
      <c r="D47" s="83" t="s">
        <v>119</v>
      </c>
      <c r="E47" s="44">
        <v>1757</v>
      </c>
      <c r="F47" s="38">
        <v>2927070</v>
      </c>
      <c r="G47" s="20">
        <v>2609</v>
      </c>
      <c r="H47" s="17">
        <v>4070040</v>
      </c>
    </row>
    <row r="48" spans="1:8" s="1" customFormat="1" x14ac:dyDescent="0.25">
      <c r="A48" s="1072"/>
      <c r="B48" s="832"/>
      <c r="C48" s="168"/>
      <c r="D48" s="83" t="s">
        <v>120</v>
      </c>
      <c r="E48" s="44">
        <v>1979</v>
      </c>
      <c r="F48" s="39" t="s">
        <v>206</v>
      </c>
      <c r="G48" s="20">
        <v>2375</v>
      </c>
      <c r="H48" s="17">
        <v>3705000</v>
      </c>
    </row>
    <row r="49" spans="1:8" s="1" customFormat="1" x14ac:dyDescent="0.25">
      <c r="A49" s="1072"/>
      <c r="B49" s="832"/>
      <c r="C49" s="168"/>
      <c r="D49" s="83" t="s">
        <v>121</v>
      </c>
      <c r="E49" s="44">
        <v>538</v>
      </c>
      <c r="F49" s="39">
        <v>845730</v>
      </c>
      <c r="G49" s="20">
        <v>646</v>
      </c>
      <c r="H49" s="17">
        <v>1007760</v>
      </c>
    </row>
    <row r="50" spans="1:8" s="1" customFormat="1" x14ac:dyDescent="0.25">
      <c r="A50" s="1072"/>
      <c r="B50" s="832"/>
      <c r="C50" s="168"/>
      <c r="D50" s="83" t="s">
        <v>122</v>
      </c>
      <c r="E50" s="44">
        <v>290</v>
      </c>
      <c r="F50" s="39">
        <v>455900</v>
      </c>
      <c r="G50" s="20">
        <v>748</v>
      </c>
      <c r="H50" s="17">
        <v>1166880</v>
      </c>
    </row>
    <row r="51" spans="1:8" s="1" customFormat="1" x14ac:dyDescent="0.25">
      <c r="A51" s="1072"/>
      <c r="B51" s="832"/>
      <c r="C51" s="168"/>
      <c r="D51" s="83" t="s">
        <v>123</v>
      </c>
      <c r="E51" s="44">
        <v>1064</v>
      </c>
      <c r="F51" s="40">
        <v>1779520</v>
      </c>
      <c r="G51" s="20">
        <v>1277</v>
      </c>
      <c r="H51" s="17">
        <v>1992120</v>
      </c>
    </row>
    <row r="52" spans="1:8" s="1" customFormat="1" x14ac:dyDescent="0.25">
      <c r="A52" s="1072"/>
      <c r="B52" s="832"/>
      <c r="C52" s="168"/>
      <c r="D52" s="83" t="s">
        <v>124</v>
      </c>
      <c r="E52" s="44">
        <v>1218</v>
      </c>
      <c r="F52" s="40">
        <v>1914730</v>
      </c>
      <c r="G52" s="20">
        <v>1462</v>
      </c>
      <c r="H52" s="17">
        <v>2280720</v>
      </c>
    </row>
    <row r="53" spans="1:8" s="1" customFormat="1" x14ac:dyDescent="0.25">
      <c r="A53" s="1072"/>
      <c r="B53" s="212"/>
      <c r="C53" s="168"/>
      <c r="D53" s="83" t="s">
        <v>125</v>
      </c>
      <c r="E53" s="44">
        <v>2943</v>
      </c>
      <c r="F53" s="40">
        <v>4626380</v>
      </c>
      <c r="G53" s="20">
        <v>3532</v>
      </c>
      <c r="H53" s="17">
        <v>5509920</v>
      </c>
    </row>
    <row r="54" spans="1:8" s="1" customFormat="1" x14ac:dyDescent="0.25">
      <c r="A54" s="1068"/>
      <c r="B54" s="212"/>
      <c r="C54" s="168"/>
      <c r="D54" s="83" t="s">
        <v>126</v>
      </c>
      <c r="E54" s="44">
        <v>804</v>
      </c>
      <c r="F54" s="163">
        <v>1263890</v>
      </c>
      <c r="G54" s="20">
        <v>965</v>
      </c>
      <c r="H54" s="17">
        <v>1505400</v>
      </c>
    </row>
    <row r="55" spans="1:8" s="8" customFormat="1" ht="3.75" customHeight="1" x14ac:dyDescent="0.25">
      <c r="A55" s="7"/>
      <c r="B55" s="7"/>
      <c r="C55" s="7"/>
      <c r="D55" s="7"/>
      <c r="E55" s="7"/>
      <c r="F55" s="93"/>
      <c r="G55" s="7"/>
      <c r="H55" s="7"/>
    </row>
    <row r="56" spans="1:8" s="9" customFormat="1" ht="24" customHeight="1" x14ac:dyDescent="0.25">
      <c r="A56" s="1067" t="s">
        <v>16</v>
      </c>
      <c r="B56" s="856" t="s">
        <v>55</v>
      </c>
      <c r="C56" s="856" t="s">
        <v>19</v>
      </c>
      <c r="D56" s="70" t="s">
        <v>79</v>
      </c>
      <c r="E56" s="64">
        <f>SUM(E57:E65)</f>
        <v>1517</v>
      </c>
      <c r="F56" s="78">
        <f>SUM(F57:F65)</f>
        <v>6575000</v>
      </c>
      <c r="G56" s="64">
        <f>SUM(G57:G65)</f>
        <v>2857</v>
      </c>
      <c r="H56" s="64">
        <f>SUM(H57:H65)</f>
        <v>17142000</v>
      </c>
    </row>
    <row r="57" spans="1:8" s="9" customFormat="1" ht="20.25" customHeight="1" x14ac:dyDescent="0.25">
      <c r="A57" s="1072"/>
      <c r="B57" s="857"/>
      <c r="C57" s="857"/>
      <c r="D57" s="83" t="s">
        <v>118</v>
      </c>
      <c r="E57" s="44">
        <v>177</v>
      </c>
      <c r="F57" s="41">
        <v>785000</v>
      </c>
      <c r="G57" s="15">
        <v>332</v>
      </c>
      <c r="H57" s="53">
        <v>1992000</v>
      </c>
    </row>
    <row r="58" spans="1:8" s="16" customFormat="1" ht="15" customHeight="1" x14ac:dyDescent="0.25">
      <c r="A58" s="1072"/>
      <c r="B58" s="857"/>
      <c r="C58" s="857"/>
      <c r="D58" s="83" t="s">
        <v>119</v>
      </c>
      <c r="E58" s="44">
        <v>203</v>
      </c>
      <c r="F58" s="38">
        <v>876000</v>
      </c>
      <c r="G58" s="20">
        <v>353</v>
      </c>
      <c r="H58" s="17">
        <v>2118000</v>
      </c>
    </row>
    <row r="59" spans="1:8" s="1" customFormat="1" x14ac:dyDescent="0.25">
      <c r="A59" s="1072"/>
      <c r="B59" s="857"/>
      <c r="C59" s="168"/>
      <c r="D59" s="83" t="s">
        <v>120</v>
      </c>
      <c r="E59" s="44">
        <v>277</v>
      </c>
      <c r="F59" s="39">
        <v>1160500</v>
      </c>
      <c r="G59" s="20">
        <v>367</v>
      </c>
      <c r="H59" s="17">
        <v>2202000</v>
      </c>
    </row>
    <row r="60" spans="1:8" s="1" customFormat="1" x14ac:dyDescent="0.25">
      <c r="A60" s="1072"/>
      <c r="B60" s="857"/>
      <c r="C60" s="168"/>
      <c r="D60" s="83" t="s">
        <v>121</v>
      </c>
      <c r="E60" s="44">
        <v>147</v>
      </c>
      <c r="F60" s="39">
        <v>645000</v>
      </c>
      <c r="G60" s="20">
        <v>302</v>
      </c>
      <c r="H60" s="17">
        <v>1812000</v>
      </c>
    </row>
    <row r="61" spans="1:8" s="1" customFormat="1" x14ac:dyDescent="0.25">
      <c r="A61" s="1072"/>
      <c r="B61" s="857"/>
      <c r="C61" s="168"/>
      <c r="D61" s="83" t="s">
        <v>122</v>
      </c>
      <c r="E61" s="44">
        <v>82</v>
      </c>
      <c r="F61" s="39">
        <v>361500</v>
      </c>
      <c r="G61" s="20">
        <v>242</v>
      </c>
      <c r="H61" s="17">
        <v>1452000</v>
      </c>
    </row>
    <row r="62" spans="1:8" s="1" customFormat="1" x14ac:dyDescent="0.25">
      <c r="A62" s="1072"/>
      <c r="B62" s="857"/>
      <c r="C62" s="168"/>
      <c r="D62" s="83" t="s">
        <v>123</v>
      </c>
      <c r="E62" s="44">
        <v>136</v>
      </c>
      <c r="F62" s="40">
        <v>578500</v>
      </c>
      <c r="G62" s="20">
        <v>306</v>
      </c>
      <c r="H62" s="17">
        <v>1836000</v>
      </c>
    </row>
    <row r="63" spans="1:8" s="1" customFormat="1" x14ac:dyDescent="0.25">
      <c r="A63" s="1072"/>
      <c r="B63" s="168"/>
      <c r="C63" s="168"/>
      <c r="D63" s="83" t="s">
        <v>124</v>
      </c>
      <c r="E63" s="44">
        <v>159</v>
      </c>
      <c r="F63" s="40">
        <v>681000</v>
      </c>
      <c r="G63" s="20">
        <v>304</v>
      </c>
      <c r="H63" s="17">
        <v>1824000</v>
      </c>
    </row>
    <row r="64" spans="1:8" s="1" customFormat="1" x14ac:dyDescent="0.25">
      <c r="A64" s="1072"/>
      <c r="B64" s="168"/>
      <c r="C64" s="168"/>
      <c r="D64" s="83" t="s">
        <v>125</v>
      </c>
      <c r="E64" s="44">
        <v>205</v>
      </c>
      <c r="F64" s="40">
        <v>917000</v>
      </c>
      <c r="G64" s="20">
        <v>360</v>
      </c>
      <c r="H64" s="17">
        <v>2160000</v>
      </c>
    </row>
    <row r="65" spans="1:8" s="1" customFormat="1" x14ac:dyDescent="0.25">
      <c r="A65" s="1068"/>
      <c r="B65" s="168"/>
      <c r="C65" s="168"/>
      <c r="D65" s="83" t="s">
        <v>126</v>
      </c>
      <c r="E65" s="44">
        <v>131</v>
      </c>
      <c r="F65" s="163">
        <v>570500</v>
      </c>
      <c r="G65" s="20">
        <v>291</v>
      </c>
      <c r="H65" s="17">
        <v>1746000</v>
      </c>
    </row>
    <row r="66" spans="1:8" s="8" customFormat="1" ht="5.25" customHeight="1" x14ac:dyDescent="0.25">
      <c r="A66" s="7"/>
      <c r="B66" s="7"/>
      <c r="C66" s="7"/>
      <c r="D66" s="7"/>
      <c r="E66" s="7"/>
      <c r="F66" s="93"/>
      <c r="G66" s="7"/>
      <c r="H66" s="7"/>
    </row>
    <row r="67" spans="1:8" s="9" customFormat="1" ht="24" customHeight="1" x14ac:dyDescent="0.25">
      <c r="A67" s="1067" t="s">
        <v>17</v>
      </c>
      <c r="B67" s="923" t="s">
        <v>56</v>
      </c>
      <c r="C67" s="214" t="s">
        <v>18</v>
      </c>
      <c r="D67" s="70" t="s">
        <v>79</v>
      </c>
      <c r="E67" s="64">
        <f>SUM(E68:E71)</f>
        <v>10</v>
      </c>
      <c r="F67" s="78">
        <f>SUM(F68:F71)</f>
        <v>21204</v>
      </c>
      <c r="G67" s="63">
        <f>SUM(G68:G71)</f>
        <v>0</v>
      </c>
      <c r="H67" s="78">
        <f>SUM(H68:H71)</f>
        <v>0</v>
      </c>
    </row>
    <row r="68" spans="1:8" s="16" customFormat="1" ht="15" customHeight="1" x14ac:dyDescent="0.25">
      <c r="A68" s="1072"/>
      <c r="B68" s="924"/>
      <c r="C68" s="6"/>
      <c r="D68" s="83" t="s">
        <v>119</v>
      </c>
      <c r="E68" s="44">
        <f>1</f>
        <v>1</v>
      </c>
      <c r="F68" s="38">
        <f>1500</f>
        <v>1500</v>
      </c>
      <c r="G68" s="20"/>
      <c r="H68" s="17"/>
    </row>
    <row r="69" spans="1:8" s="1" customFormat="1" x14ac:dyDescent="0.25">
      <c r="A69" s="1072"/>
      <c r="B69" s="171"/>
      <c r="C69" s="6"/>
      <c r="D69" s="83" t="s">
        <v>120</v>
      </c>
      <c r="E69" s="44">
        <f>1</f>
        <v>1</v>
      </c>
      <c r="F69" s="39">
        <f>204</f>
        <v>204</v>
      </c>
      <c r="G69" s="20"/>
      <c r="H69" s="17"/>
    </row>
    <row r="70" spans="1:8" s="1" customFormat="1" x14ac:dyDescent="0.25">
      <c r="A70" s="1072"/>
      <c r="B70" s="171"/>
      <c r="C70" s="6"/>
      <c r="D70" s="83" t="s">
        <v>125</v>
      </c>
      <c r="E70" s="44">
        <f>1+4</f>
        <v>5</v>
      </c>
      <c r="F70" s="40">
        <f>1500+13000</f>
        <v>14500</v>
      </c>
      <c r="G70" s="20"/>
      <c r="H70" s="17"/>
    </row>
    <row r="71" spans="1:8" s="1" customFormat="1" x14ac:dyDescent="0.25">
      <c r="A71" s="1068"/>
      <c r="B71" s="171"/>
      <c r="C71" s="6"/>
      <c r="D71" s="83" t="s">
        <v>126</v>
      </c>
      <c r="E71" s="44">
        <f>1+1+1</f>
        <v>3</v>
      </c>
      <c r="F71" s="40">
        <f>2000+1500+1500</f>
        <v>5000</v>
      </c>
      <c r="G71" s="20"/>
      <c r="H71" s="17"/>
    </row>
    <row r="72" spans="1:8" s="8" customFormat="1" ht="5.25" customHeight="1" x14ac:dyDescent="0.25">
      <c r="A72" s="7"/>
      <c r="B72" s="7"/>
      <c r="C72" s="7"/>
      <c r="D72" s="7"/>
      <c r="E72" s="7"/>
      <c r="F72" s="93"/>
      <c r="G72" s="7"/>
      <c r="H72" s="7"/>
    </row>
    <row r="73" spans="1:8" s="9" customFormat="1" ht="34.5" hidden="1" customHeight="1" x14ac:dyDescent="0.25">
      <c r="A73" s="6" t="s">
        <v>22</v>
      </c>
      <c r="B73" s="831" t="s">
        <v>57</v>
      </c>
      <c r="C73" s="6" t="s">
        <v>37</v>
      </c>
      <c r="D73" s="6"/>
      <c r="E73" s="42">
        <f>SUM(E74:E79)</f>
        <v>227</v>
      </c>
      <c r="F73" s="94">
        <f>SUM(F74:F79)</f>
        <v>562960</v>
      </c>
      <c r="G73" s="6"/>
      <c r="H73" s="6"/>
    </row>
    <row r="74" spans="1:8" s="1" customFormat="1" ht="15" hidden="1" customHeight="1" x14ac:dyDescent="0.25">
      <c r="A74" s="972" t="s">
        <v>35</v>
      </c>
      <c r="B74" s="832"/>
      <c r="C74" s="5"/>
      <c r="D74" s="4" t="s">
        <v>42</v>
      </c>
      <c r="E74" s="44"/>
      <c r="F74" s="41"/>
      <c r="G74" s="5"/>
      <c r="H74" s="4" t="s">
        <v>8</v>
      </c>
    </row>
    <row r="75" spans="1:8" s="1" customFormat="1" ht="15" hidden="1" customHeight="1" x14ac:dyDescent="0.25">
      <c r="A75" s="918"/>
      <c r="B75" s="833"/>
      <c r="C75" s="5"/>
      <c r="D75" s="4" t="s">
        <v>43</v>
      </c>
      <c r="E75" s="44"/>
      <c r="F75" s="38"/>
      <c r="G75" s="5"/>
      <c r="H75" s="4" t="s">
        <v>9</v>
      </c>
    </row>
    <row r="76" spans="1:8" s="1" customFormat="1" ht="15" hidden="1" customHeight="1" x14ac:dyDescent="0.25">
      <c r="A76" s="918"/>
      <c r="B76" s="211"/>
      <c r="C76" s="5"/>
      <c r="D76" s="4" t="s">
        <v>44</v>
      </c>
      <c r="E76" s="45">
        <v>227</v>
      </c>
      <c r="F76" s="39">
        <v>562960</v>
      </c>
      <c r="G76" s="5"/>
      <c r="H76" s="4" t="s">
        <v>10</v>
      </c>
    </row>
    <row r="77" spans="1:8" s="1" customFormat="1" ht="15" hidden="1" customHeight="1" x14ac:dyDescent="0.25">
      <c r="A77" s="918"/>
      <c r="B77" s="211"/>
      <c r="C77" s="5"/>
      <c r="D77" s="4" t="s">
        <v>45</v>
      </c>
      <c r="E77" s="44"/>
      <c r="F77" s="39"/>
      <c r="G77" s="5"/>
      <c r="H77" s="4" t="s">
        <v>11</v>
      </c>
    </row>
    <row r="78" spans="1:8" s="1" customFormat="1" ht="15" hidden="1" customHeight="1" x14ac:dyDescent="0.25">
      <c r="A78" s="918"/>
      <c r="B78" s="211"/>
      <c r="C78" s="5"/>
      <c r="D78" s="4" t="s">
        <v>46</v>
      </c>
      <c r="E78" s="44"/>
      <c r="F78" s="39"/>
      <c r="G78" s="5"/>
      <c r="H78" s="4" t="s">
        <v>12</v>
      </c>
    </row>
    <row r="79" spans="1:8" s="1" customFormat="1" ht="15" hidden="1" customHeight="1" x14ac:dyDescent="0.25">
      <c r="A79" s="918"/>
      <c r="B79" s="211"/>
      <c r="C79" s="5"/>
      <c r="D79" s="4" t="s">
        <v>47</v>
      </c>
      <c r="E79" s="44"/>
      <c r="F79" s="40"/>
      <c r="G79" s="5"/>
      <c r="H79" s="4" t="s">
        <v>13</v>
      </c>
    </row>
    <row r="80" spans="1:8" s="8" customFormat="1" ht="8.25" hidden="1" customHeight="1" x14ac:dyDescent="0.25">
      <c r="A80" s="7"/>
      <c r="B80" s="7"/>
      <c r="C80" s="7"/>
      <c r="D80" s="7"/>
      <c r="E80" s="7"/>
      <c r="F80" s="93"/>
      <c r="G80" s="7"/>
      <c r="H80" s="7"/>
    </row>
    <row r="81" spans="1:9" s="9" customFormat="1" ht="24.75" customHeight="1" x14ac:dyDescent="0.25">
      <c r="A81" s="1067" t="s">
        <v>23</v>
      </c>
      <c r="B81" s="831" t="s">
        <v>58</v>
      </c>
      <c r="C81" s="926" t="s">
        <v>24</v>
      </c>
      <c r="D81" s="224" t="s">
        <v>79</v>
      </c>
      <c r="E81" s="64">
        <f>SUM(E82:E84)</f>
        <v>3785</v>
      </c>
      <c r="F81" s="78">
        <f>SUM(F82:F84)</f>
        <v>1196250</v>
      </c>
      <c r="G81" s="63">
        <f>SUM(G82:G84)</f>
        <v>0</v>
      </c>
      <c r="H81" s="78">
        <f>SUM(H82:H84)</f>
        <v>0</v>
      </c>
      <c r="I81" s="66"/>
    </row>
    <row r="82" spans="1:9" s="9" customFormat="1" ht="23.25" customHeight="1" x14ac:dyDescent="0.25">
      <c r="A82" s="1072"/>
      <c r="B82" s="832"/>
      <c r="C82" s="927"/>
      <c r="D82" s="83" t="s">
        <v>118</v>
      </c>
      <c r="E82" s="44">
        <f>1435</f>
        <v>1435</v>
      </c>
      <c r="F82" s="41">
        <f>608750</f>
        <v>608750</v>
      </c>
      <c r="G82" s="15"/>
      <c r="H82" s="53"/>
      <c r="I82" s="66"/>
    </row>
    <row r="83" spans="1:9" s="1" customFormat="1" x14ac:dyDescent="0.25">
      <c r="A83" s="1072"/>
      <c r="B83" s="832"/>
      <c r="C83" s="6"/>
      <c r="D83" s="83" t="s">
        <v>123</v>
      </c>
      <c r="E83" s="44">
        <f>150</f>
        <v>150</v>
      </c>
      <c r="F83" s="40">
        <f>37500</f>
        <v>37500</v>
      </c>
      <c r="G83" s="20"/>
      <c r="H83" s="17"/>
    </row>
    <row r="84" spans="1:9" s="1" customFormat="1" x14ac:dyDescent="0.25">
      <c r="A84" s="1068"/>
      <c r="B84" s="833"/>
      <c r="C84" s="6"/>
      <c r="D84" s="83" t="s">
        <v>126</v>
      </c>
      <c r="E84" s="44">
        <f>2200</f>
        <v>2200</v>
      </c>
      <c r="F84" s="62">
        <f>550000</f>
        <v>550000</v>
      </c>
      <c r="G84" s="20"/>
      <c r="H84" s="17"/>
    </row>
    <row r="85" spans="1:9" s="8" customFormat="1" ht="6" hidden="1" customHeight="1" x14ac:dyDescent="0.25">
      <c r="A85" s="7"/>
      <c r="B85" s="7"/>
      <c r="C85" s="7"/>
      <c r="D85" s="7"/>
      <c r="E85" s="7"/>
      <c r="F85" s="93"/>
      <c r="G85" s="7"/>
      <c r="H85" s="7"/>
    </row>
    <row r="86" spans="1:9" s="9" customFormat="1" ht="30" hidden="1" customHeight="1" x14ac:dyDescent="0.25">
      <c r="A86" s="214" t="s">
        <v>63</v>
      </c>
      <c r="B86" s="831" t="s">
        <v>64</v>
      </c>
      <c r="C86" s="6" t="s">
        <v>65</v>
      </c>
      <c r="D86" s="155" t="s">
        <v>81</v>
      </c>
      <c r="E86" s="161" t="e">
        <f>SUM(#REF!)</f>
        <v>#REF!</v>
      </c>
      <c r="F86" s="158" t="e">
        <f>SUM(#REF!)</f>
        <v>#REF!</v>
      </c>
      <c r="G86" s="63" t="e">
        <f>#REF!+#REF!</f>
        <v>#REF!</v>
      </c>
      <c r="H86" s="78" t="e">
        <f>#REF!+#REF!</f>
        <v>#REF!</v>
      </c>
    </row>
    <row r="87" spans="1:9" s="9" customFormat="1" ht="30" hidden="1" customHeight="1" x14ac:dyDescent="0.25">
      <c r="A87" s="214"/>
      <c r="B87" s="879"/>
      <c r="C87" s="6"/>
      <c r="D87" s="70" t="s">
        <v>79</v>
      </c>
      <c r="E87" s="64"/>
      <c r="F87" s="95"/>
      <c r="G87" s="63">
        <f>SUM(G88:G96)</f>
        <v>0</v>
      </c>
      <c r="H87" s="78">
        <f>SUM(H88:H96)</f>
        <v>0</v>
      </c>
    </row>
    <row r="88" spans="1:9" s="16" customFormat="1" ht="15" hidden="1" customHeight="1" x14ac:dyDescent="0.25">
      <c r="A88" s="869"/>
      <c r="B88" s="879"/>
      <c r="C88" s="6"/>
      <c r="D88" s="83" t="s">
        <v>118</v>
      </c>
      <c r="E88" s="44"/>
      <c r="F88" s="41"/>
      <c r="G88" s="15"/>
      <c r="H88" s="53"/>
    </row>
    <row r="89" spans="1:9" s="1" customFormat="1" ht="15" hidden="1" customHeight="1" x14ac:dyDescent="0.25">
      <c r="A89" s="870"/>
      <c r="B89" s="879"/>
      <c r="C89" s="6"/>
      <c r="D89" s="83" t="s">
        <v>119</v>
      </c>
      <c r="E89" s="44"/>
      <c r="F89" s="38"/>
      <c r="G89" s="20"/>
      <c r="H89" s="17"/>
    </row>
    <row r="90" spans="1:9" s="1" customFormat="1" ht="15" hidden="1" customHeight="1" x14ac:dyDescent="0.25">
      <c r="A90" s="55"/>
      <c r="B90" s="879"/>
      <c r="C90" s="6"/>
      <c r="D90" s="83" t="s">
        <v>120</v>
      </c>
      <c r="E90" s="44"/>
      <c r="F90" s="39"/>
      <c r="G90" s="20"/>
      <c r="H90" s="17"/>
    </row>
    <row r="91" spans="1:9" s="1" customFormat="1" ht="15" hidden="1" customHeight="1" x14ac:dyDescent="0.25">
      <c r="A91" s="55"/>
      <c r="B91" s="879"/>
      <c r="C91" s="6"/>
      <c r="D91" s="83" t="s">
        <v>121</v>
      </c>
      <c r="E91" s="44"/>
      <c r="F91" s="39"/>
      <c r="G91" s="20"/>
      <c r="H91" s="17"/>
    </row>
    <row r="92" spans="1:9" s="1" customFormat="1" ht="15" hidden="1" customHeight="1" x14ac:dyDescent="0.25">
      <c r="A92" s="55"/>
      <c r="B92" s="879"/>
      <c r="C92" s="6"/>
      <c r="D92" s="83" t="s">
        <v>122</v>
      </c>
      <c r="E92" s="44"/>
      <c r="F92" s="39"/>
      <c r="G92" s="20"/>
      <c r="H92" s="17"/>
    </row>
    <row r="93" spans="1:9" s="1" customFormat="1" ht="15" hidden="1" customHeight="1" x14ac:dyDescent="0.25">
      <c r="A93" s="55"/>
      <c r="B93" s="879"/>
      <c r="C93" s="6"/>
      <c r="D93" s="83" t="s">
        <v>123</v>
      </c>
      <c r="E93" s="44"/>
      <c r="F93" s="40"/>
      <c r="G93" s="20"/>
      <c r="H93" s="17"/>
    </row>
    <row r="94" spans="1:9" s="1" customFormat="1" ht="15" hidden="1" customHeight="1" x14ac:dyDescent="0.25">
      <c r="A94" s="55"/>
      <c r="B94" s="879"/>
      <c r="C94" s="6"/>
      <c r="D94" s="83" t="s">
        <v>124</v>
      </c>
      <c r="E94" s="44"/>
      <c r="F94" s="40"/>
      <c r="G94" s="20"/>
      <c r="H94" s="17"/>
    </row>
    <row r="95" spans="1:9" s="1" customFormat="1" ht="15" hidden="1" customHeight="1" x14ac:dyDescent="0.25">
      <c r="A95" s="55"/>
      <c r="B95" s="879"/>
      <c r="C95" s="6"/>
      <c r="D95" s="83" t="s">
        <v>125</v>
      </c>
      <c r="E95" s="44"/>
      <c r="F95" s="40"/>
      <c r="G95" s="20"/>
      <c r="H95" s="17"/>
    </row>
    <row r="96" spans="1:9" s="1" customFormat="1" ht="15" hidden="1" customHeight="1" x14ac:dyDescent="0.25">
      <c r="A96" s="55"/>
      <c r="B96" s="879"/>
      <c r="C96" s="6"/>
      <c r="D96" s="83" t="s">
        <v>126</v>
      </c>
      <c r="E96" s="44"/>
      <c r="F96" s="40"/>
      <c r="G96" s="20"/>
      <c r="H96" s="17"/>
    </row>
    <row r="97" spans="1:8" s="2" customFormat="1" ht="24" hidden="1" customHeight="1" x14ac:dyDescent="0.25">
      <c r="A97" s="211"/>
      <c r="B97" s="879"/>
      <c r="C97" s="6"/>
      <c r="D97" s="70" t="s">
        <v>80</v>
      </c>
      <c r="E97" s="70">
        <f>SUM(E98:E105)</f>
        <v>0</v>
      </c>
      <c r="F97" s="84">
        <f>SUM(F98:F105)</f>
        <v>0</v>
      </c>
      <c r="G97" s="70">
        <f>SUM(G98:G105)</f>
        <v>0</v>
      </c>
      <c r="H97" s="71">
        <f>SUM(H98:H105)</f>
        <v>0</v>
      </c>
    </row>
    <row r="98" spans="1:8" s="2" customFormat="1" ht="14.25" hidden="1" customHeight="1" x14ac:dyDescent="0.25">
      <c r="A98" s="211"/>
      <c r="B98" s="879"/>
      <c r="C98" s="6"/>
      <c r="D98" s="83" t="s">
        <v>127</v>
      </c>
      <c r="E98" s="30"/>
      <c r="F98" s="37"/>
      <c r="G98" s="4"/>
      <c r="H98" s="17"/>
    </row>
    <row r="99" spans="1:8" s="2" customFormat="1" ht="14.25" hidden="1" customHeight="1" x14ac:dyDescent="0.25">
      <c r="A99" s="211"/>
      <c r="B99" s="879"/>
      <c r="C99" s="6"/>
      <c r="D99" s="83" t="s">
        <v>128</v>
      </c>
      <c r="E99" s="30"/>
      <c r="F99" s="37"/>
      <c r="G99" s="4"/>
      <c r="H99" s="17"/>
    </row>
    <row r="100" spans="1:8" s="2" customFormat="1" ht="14.25" hidden="1" customHeight="1" x14ac:dyDescent="0.25">
      <c r="A100" s="211"/>
      <c r="B100" s="879"/>
      <c r="C100" s="6"/>
      <c r="D100" s="83" t="s">
        <v>129</v>
      </c>
      <c r="E100" s="30"/>
      <c r="F100" s="37"/>
      <c r="G100" s="4"/>
      <c r="H100" s="17"/>
    </row>
    <row r="101" spans="1:8" s="2" customFormat="1" ht="14.25" hidden="1" customHeight="1" x14ac:dyDescent="0.25">
      <c r="A101" s="211"/>
      <c r="B101" s="879"/>
      <c r="C101" s="6"/>
      <c r="D101" s="83" t="s">
        <v>130</v>
      </c>
      <c r="E101" s="30"/>
      <c r="F101" s="37"/>
      <c r="G101" s="4"/>
      <c r="H101" s="17"/>
    </row>
    <row r="102" spans="1:8" s="2" customFormat="1" ht="14.25" hidden="1" customHeight="1" x14ac:dyDescent="0.25">
      <c r="A102" s="211"/>
      <c r="B102" s="879"/>
      <c r="C102" s="6"/>
      <c r="D102" s="83" t="s">
        <v>131</v>
      </c>
      <c r="E102" s="30"/>
      <c r="F102" s="37"/>
      <c r="G102" s="4"/>
      <c r="H102" s="17"/>
    </row>
    <row r="103" spans="1:8" s="2" customFormat="1" ht="14.25" hidden="1" customHeight="1" x14ac:dyDescent="0.25">
      <c r="A103" s="211"/>
      <c r="B103" s="879"/>
      <c r="C103" s="6"/>
      <c r="D103" s="83" t="s">
        <v>132</v>
      </c>
      <c r="E103" s="30"/>
      <c r="F103" s="37"/>
      <c r="G103" s="4"/>
      <c r="H103" s="17"/>
    </row>
    <row r="104" spans="1:8" s="2" customFormat="1" ht="14.25" hidden="1" customHeight="1" x14ac:dyDescent="0.25">
      <c r="A104" s="211"/>
      <c r="B104" s="879"/>
      <c r="C104" s="6"/>
      <c r="D104" s="83" t="s">
        <v>133</v>
      </c>
      <c r="E104" s="30"/>
      <c r="F104" s="37"/>
      <c r="G104" s="4"/>
      <c r="H104" s="17"/>
    </row>
    <row r="105" spans="1:8" s="2" customFormat="1" ht="14.25" hidden="1" customHeight="1" x14ac:dyDescent="0.25">
      <c r="A105" s="211"/>
      <c r="B105" s="879"/>
      <c r="C105" s="6"/>
      <c r="D105" s="83" t="s">
        <v>134</v>
      </c>
      <c r="E105" s="30"/>
      <c r="F105" s="37"/>
      <c r="G105" s="4"/>
      <c r="H105" s="17"/>
    </row>
    <row r="106" spans="1:8" s="2" customFormat="1" ht="24" hidden="1" customHeight="1" x14ac:dyDescent="0.25">
      <c r="A106" s="211"/>
      <c r="B106" s="879"/>
      <c r="C106" s="6"/>
      <c r="D106" s="70" t="s">
        <v>97</v>
      </c>
      <c r="E106" s="70">
        <f>SUM(E107:E113)</f>
        <v>0</v>
      </c>
      <c r="F106" s="84">
        <f>SUM(F107:F113)</f>
        <v>0</v>
      </c>
      <c r="G106" s="70">
        <f>SUM(G107:G113)</f>
        <v>0</v>
      </c>
      <c r="H106" s="71">
        <f>SUM(H107:H113)</f>
        <v>0</v>
      </c>
    </row>
    <row r="107" spans="1:8" s="2" customFormat="1" ht="14.25" hidden="1" customHeight="1" x14ac:dyDescent="0.25">
      <c r="A107" s="211"/>
      <c r="B107" s="879"/>
      <c r="C107" s="6"/>
      <c r="D107" s="83" t="s">
        <v>135</v>
      </c>
      <c r="E107" s="30"/>
      <c r="F107" s="37"/>
      <c r="G107" s="4"/>
      <c r="H107" s="17"/>
    </row>
    <row r="108" spans="1:8" s="2" customFormat="1" ht="14.25" hidden="1" customHeight="1" x14ac:dyDescent="0.25">
      <c r="A108" s="211"/>
      <c r="B108" s="879"/>
      <c r="C108" s="6"/>
      <c r="D108" s="83" t="s">
        <v>136</v>
      </c>
      <c r="E108" s="30"/>
      <c r="F108" s="37"/>
      <c r="G108" s="4"/>
      <c r="H108" s="17"/>
    </row>
    <row r="109" spans="1:8" s="2" customFormat="1" ht="14.25" hidden="1" customHeight="1" x14ac:dyDescent="0.25">
      <c r="A109" s="211"/>
      <c r="B109" s="879"/>
      <c r="C109" s="6"/>
      <c r="D109" s="83" t="s">
        <v>137</v>
      </c>
      <c r="E109" s="30"/>
      <c r="F109" s="37"/>
      <c r="G109" s="4"/>
      <c r="H109" s="17"/>
    </row>
    <row r="110" spans="1:8" s="2" customFormat="1" ht="14.25" hidden="1" customHeight="1" x14ac:dyDescent="0.25">
      <c r="A110" s="211"/>
      <c r="B110" s="879"/>
      <c r="C110" s="6"/>
      <c r="D110" s="83" t="s">
        <v>138</v>
      </c>
      <c r="E110" s="30"/>
      <c r="F110" s="37"/>
      <c r="G110" s="4"/>
      <c r="H110" s="17"/>
    </row>
    <row r="111" spans="1:8" s="2" customFormat="1" ht="14.25" hidden="1" customHeight="1" x14ac:dyDescent="0.25">
      <c r="A111" s="211"/>
      <c r="B111" s="879"/>
      <c r="C111" s="6"/>
      <c r="D111" s="83" t="s">
        <v>139</v>
      </c>
      <c r="E111" s="30"/>
      <c r="F111" s="37"/>
      <c r="G111" s="4"/>
      <c r="H111" s="17"/>
    </row>
    <row r="112" spans="1:8" s="2" customFormat="1" ht="14.25" hidden="1" customHeight="1" x14ac:dyDescent="0.25">
      <c r="A112" s="211"/>
      <c r="B112" s="879"/>
      <c r="C112" s="6"/>
      <c r="D112" s="83" t="s">
        <v>140</v>
      </c>
      <c r="E112" s="30"/>
      <c r="F112" s="37"/>
      <c r="G112" s="4"/>
      <c r="H112" s="17"/>
    </row>
    <row r="113" spans="1:8" s="2" customFormat="1" ht="14.25" hidden="1" customHeight="1" x14ac:dyDescent="0.25">
      <c r="A113" s="211"/>
      <c r="B113" s="879"/>
      <c r="C113" s="6"/>
      <c r="D113" s="83" t="s">
        <v>141</v>
      </c>
      <c r="E113" s="30"/>
      <c r="F113" s="37"/>
      <c r="G113" s="4"/>
      <c r="H113" s="17"/>
    </row>
    <row r="114" spans="1:8" s="2" customFormat="1" ht="24" hidden="1" customHeight="1" x14ac:dyDescent="0.25">
      <c r="A114" s="211"/>
      <c r="B114" s="879"/>
      <c r="C114" s="6"/>
      <c r="D114" s="70" t="s">
        <v>98</v>
      </c>
      <c r="E114" s="70">
        <f>SUM(E115:E122)</f>
        <v>0</v>
      </c>
      <c r="F114" s="84">
        <f>SUM(F115:F122)</f>
        <v>0</v>
      </c>
      <c r="G114" s="70">
        <f>SUM(G115:G122)</f>
        <v>0</v>
      </c>
      <c r="H114" s="71">
        <f>SUM(H115:H122)</f>
        <v>0</v>
      </c>
    </row>
    <row r="115" spans="1:8" s="2" customFormat="1" ht="14.25" hidden="1" customHeight="1" x14ac:dyDescent="0.25">
      <c r="A115" s="211"/>
      <c r="B115" s="879"/>
      <c r="C115" s="6"/>
      <c r="D115" s="83" t="s">
        <v>142</v>
      </c>
      <c r="E115" s="30"/>
      <c r="F115" s="37"/>
      <c r="G115" s="4"/>
      <c r="H115" s="17"/>
    </row>
    <row r="116" spans="1:8" s="2" customFormat="1" ht="14.25" hidden="1" customHeight="1" x14ac:dyDescent="0.25">
      <c r="A116" s="211"/>
      <c r="B116" s="879"/>
      <c r="C116" s="6"/>
      <c r="D116" s="83" t="s">
        <v>143</v>
      </c>
      <c r="E116" s="30"/>
      <c r="F116" s="37"/>
      <c r="G116" s="4"/>
      <c r="H116" s="17"/>
    </row>
    <row r="117" spans="1:8" s="2" customFormat="1" ht="14.25" hidden="1" customHeight="1" x14ac:dyDescent="0.25">
      <c r="A117" s="211"/>
      <c r="B117" s="879"/>
      <c r="C117" s="6"/>
      <c r="D117" s="83" t="s">
        <v>144</v>
      </c>
      <c r="E117" s="30"/>
      <c r="F117" s="37"/>
      <c r="G117" s="4"/>
      <c r="H117" s="17"/>
    </row>
    <row r="118" spans="1:8" s="2" customFormat="1" ht="14.25" hidden="1" customHeight="1" x14ac:dyDescent="0.25">
      <c r="A118" s="211"/>
      <c r="B118" s="879"/>
      <c r="C118" s="6"/>
      <c r="D118" s="83" t="s">
        <v>145</v>
      </c>
      <c r="E118" s="30"/>
      <c r="F118" s="37"/>
      <c r="G118" s="4"/>
      <c r="H118" s="17"/>
    </row>
    <row r="119" spans="1:8" s="2" customFormat="1" ht="14.25" hidden="1" customHeight="1" x14ac:dyDescent="0.25">
      <c r="A119" s="211"/>
      <c r="B119" s="879"/>
      <c r="C119" s="6"/>
      <c r="D119" s="83" t="s">
        <v>146</v>
      </c>
      <c r="E119" s="30"/>
      <c r="F119" s="37"/>
      <c r="G119" s="4"/>
      <c r="H119" s="17"/>
    </row>
    <row r="120" spans="1:8" s="2" customFormat="1" ht="14.25" hidden="1" customHeight="1" x14ac:dyDescent="0.25">
      <c r="A120" s="211"/>
      <c r="B120" s="879"/>
      <c r="C120" s="6"/>
      <c r="D120" s="83" t="s">
        <v>147</v>
      </c>
      <c r="E120" s="30"/>
      <c r="F120" s="37"/>
      <c r="G120" s="4"/>
      <c r="H120" s="17"/>
    </row>
    <row r="121" spans="1:8" s="2" customFormat="1" ht="14.25" hidden="1" customHeight="1" x14ac:dyDescent="0.25">
      <c r="A121" s="211"/>
      <c r="B121" s="879"/>
      <c r="C121" s="6"/>
      <c r="D121" s="83" t="s">
        <v>148</v>
      </c>
      <c r="E121" s="30"/>
      <c r="F121" s="37"/>
      <c r="G121" s="4"/>
      <c r="H121" s="17"/>
    </row>
    <row r="122" spans="1:8" s="2" customFormat="1" ht="14.25" hidden="1" customHeight="1" x14ac:dyDescent="0.25">
      <c r="A122" s="211"/>
      <c r="B122" s="879"/>
      <c r="C122" s="214"/>
      <c r="D122" s="86" t="s">
        <v>149</v>
      </c>
      <c r="E122" s="225"/>
      <c r="F122" s="226"/>
      <c r="G122" s="220"/>
      <c r="H122" s="145"/>
    </row>
    <row r="123" spans="1:8" s="123" customFormat="1" ht="5.25" customHeight="1" x14ac:dyDescent="0.25">
      <c r="F123" s="174"/>
    </row>
    <row r="124" spans="1:8" s="123" customFormat="1" ht="5.25" customHeight="1" x14ac:dyDescent="0.25">
      <c r="F124" s="174"/>
    </row>
    <row r="125" spans="1:8" s="123" customFormat="1" ht="5.25" customHeight="1" x14ac:dyDescent="0.25">
      <c r="F125" s="174"/>
    </row>
    <row r="126" spans="1:8" s="123" customFormat="1" ht="5.25" customHeight="1" x14ac:dyDescent="0.25">
      <c r="F126" s="174"/>
    </row>
    <row r="127" spans="1:8" s="123" customFormat="1" ht="5.25" customHeight="1" x14ac:dyDescent="0.25">
      <c r="F127" s="174"/>
    </row>
    <row r="128" spans="1:8" s="123" customFormat="1" ht="5.25" customHeight="1" x14ac:dyDescent="0.25">
      <c r="F128" s="174"/>
    </row>
    <row r="129" spans="1:8" s="123" customFormat="1" ht="5.25" customHeight="1" x14ac:dyDescent="0.25">
      <c r="F129" s="174"/>
    </row>
    <row r="130" spans="1:8" s="123" customFormat="1" ht="5.25" customHeight="1" x14ac:dyDescent="0.25">
      <c r="F130" s="174"/>
    </row>
    <row r="131" spans="1:8" s="123" customFormat="1" ht="5.25" customHeight="1" x14ac:dyDescent="0.25">
      <c r="F131" s="174"/>
    </row>
    <row r="132" spans="1:8" s="123" customFormat="1" ht="5.25" customHeight="1" x14ac:dyDescent="0.25">
      <c r="F132" s="174"/>
    </row>
    <row r="133" spans="1:8" s="123" customFormat="1" ht="5.25" customHeight="1" x14ac:dyDescent="0.25">
      <c r="F133" s="174"/>
    </row>
    <row r="134" spans="1:8" s="123" customFormat="1" ht="5.25" customHeight="1" x14ac:dyDescent="0.25">
      <c r="F134" s="174"/>
    </row>
    <row r="135" spans="1:8" s="123" customFormat="1" ht="5.25" customHeight="1" x14ac:dyDescent="0.25">
      <c r="F135" s="174"/>
    </row>
    <row r="136" spans="1:8" s="123" customFormat="1" ht="5.25" customHeight="1" x14ac:dyDescent="0.25">
      <c r="F136" s="174"/>
    </row>
    <row r="137" spans="1:8" s="123" customFormat="1" ht="5.25" customHeight="1" x14ac:dyDescent="0.25">
      <c r="F137" s="174"/>
    </row>
    <row r="138" spans="1:8" s="123" customFormat="1" ht="5.25" customHeight="1" x14ac:dyDescent="0.25">
      <c r="F138" s="174"/>
    </row>
    <row r="139" spans="1:8" s="123" customFormat="1" ht="5.25" customHeight="1" x14ac:dyDescent="0.25">
      <c r="F139" s="174"/>
    </row>
    <row r="140" spans="1:8" s="123" customFormat="1" ht="5.25" customHeight="1" x14ac:dyDescent="0.25">
      <c r="F140" s="174"/>
    </row>
    <row r="141" spans="1:8" s="123" customFormat="1" ht="5.25" customHeight="1" x14ac:dyDescent="0.25">
      <c r="F141" s="174"/>
    </row>
    <row r="142" spans="1:8" s="123" customFormat="1" ht="5.25" customHeight="1" x14ac:dyDescent="0.25">
      <c r="F142" s="174"/>
    </row>
    <row r="143" spans="1:8" s="9" customFormat="1" ht="24.75" customHeight="1" x14ac:dyDescent="0.25">
      <c r="A143" s="1067" t="s">
        <v>67</v>
      </c>
      <c r="B143" s="831" t="s">
        <v>68</v>
      </c>
      <c r="C143" s="926" t="s">
        <v>65</v>
      </c>
      <c r="D143" s="70" t="s">
        <v>79</v>
      </c>
      <c r="E143" s="119">
        <f>SUM(E144:E151)</f>
        <v>3762</v>
      </c>
      <c r="F143" s="69">
        <f>SUM(F144:F151)</f>
        <v>993101.82000000007</v>
      </c>
      <c r="G143" s="221">
        <f>SUM(G144:G151)</f>
        <v>0</v>
      </c>
      <c r="H143" s="69">
        <f>SUM(H144:H151)</f>
        <v>0</v>
      </c>
    </row>
    <row r="144" spans="1:8" s="9" customFormat="1" ht="21.75" customHeight="1" x14ac:dyDescent="0.25">
      <c r="A144" s="1072"/>
      <c r="B144" s="832"/>
      <c r="C144" s="927"/>
      <c r="D144" s="83" t="s">
        <v>118</v>
      </c>
      <c r="E144" s="44">
        <f>1000</f>
        <v>1000</v>
      </c>
      <c r="F144" s="41">
        <f>250000</f>
        <v>250000</v>
      </c>
      <c r="G144" s="15"/>
      <c r="H144" s="53"/>
    </row>
    <row r="145" spans="1:8" s="16" customFormat="1" ht="15" customHeight="1" x14ac:dyDescent="0.25">
      <c r="A145" s="1072"/>
      <c r="B145" s="832"/>
      <c r="C145" s="15"/>
      <c r="D145" s="83" t="s">
        <v>119</v>
      </c>
      <c r="E145" s="44">
        <f>150</f>
        <v>150</v>
      </c>
      <c r="F145" s="38">
        <f>37125.5</f>
        <v>37125.5</v>
      </c>
      <c r="G145" s="20"/>
      <c r="H145" s="17"/>
    </row>
    <row r="146" spans="1:8" s="1" customFormat="1" x14ac:dyDescent="0.25">
      <c r="A146" s="1072"/>
      <c r="B146" s="832"/>
      <c r="C146" s="5"/>
      <c r="D146" s="83" t="s">
        <v>121</v>
      </c>
      <c r="E146" s="44">
        <f>500</f>
        <v>500</v>
      </c>
      <c r="F146" s="39">
        <f>125000</f>
        <v>125000</v>
      </c>
      <c r="G146" s="20"/>
      <c r="H146" s="17"/>
    </row>
    <row r="147" spans="1:8" s="1" customFormat="1" x14ac:dyDescent="0.25">
      <c r="A147" s="1072"/>
      <c r="B147" s="832"/>
      <c r="C147" s="5"/>
      <c r="D147" s="83" t="s">
        <v>122</v>
      </c>
      <c r="E147" s="44">
        <f>100</f>
        <v>100</v>
      </c>
      <c r="F147" s="39">
        <f>24750</f>
        <v>24750</v>
      </c>
      <c r="G147" s="20"/>
      <c r="H147" s="17"/>
    </row>
    <row r="148" spans="1:8" s="1" customFormat="1" x14ac:dyDescent="0.25">
      <c r="A148" s="1072"/>
      <c r="B148" s="85"/>
      <c r="C148" s="5"/>
      <c r="D148" s="83" t="s">
        <v>123</v>
      </c>
      <c r="E148" s="44">
        <f>500</f>
        <v>500</v>
      </c>
      <c r="F148" s="40">
        <f>161924.32</f>
        <v>161924.32</v>
      </c>
      <c r="G148" s="20"/>
      <c r="H148" s="17"/>
    </row>
    <row r="149" spans="1:8" s="1" customFormat="1" x14ac:dyDescent="0.25">
      <c r="A149" s="1072"/>
      <c r="B149" s="85"/>
      <c r="C149" s="5"/>
      <c r="D149" s="83" t="s">
        <v>124</v>
      </c>
      <c r="E149" s="44">
        <f>212</f>
        <v>212</v>
      </c>
      <c r="F149" s="40">
        <f>69302</f>
        <v>69302</v>
      </c>
      <c r="G149" s="20"/>
      <c r="H149" s="17"/>
    </row>
    <row r="150" spans="1:8" s="1" customFormat="1" x14ac:dyDescent="0.25">
      <c r="A150" s="1072"/>
      <c r="B150" s="85"/>
      <c r="C150" s="5"/>
      <c r="D150" s="83" t="s">
        <v>125</v>
      </c>
      <c r="E150" s="44">
        <f>500</f>
        <v>500</v>
      </c>
      <c r="F150" s="40">
        <f>125000</f>
        <v>125000</v>
      </c>
      <c r="G150" s="20"/>
      <c r="H150" s="17"/>
    </row>
    <row r="151" spans="1:8" s="1" customFormat="1" x14ac:dyDescent="0.25">
      <c r="A151" s="1068"/>
      <c r="B151" s="190"/>
      <c r="C151" s="5"/>
      <c r="D151" s="83" t="s">
        <v>126</v>
      </c>
      <c r="E151" s="44">
        <f>800</f>
        <v>800</v>
      </c>
      <c r="F151" s="62">
        <f>200000</f>
        <v>200000</v>
      </c>
      <c r="G151" s="20"/>
      <c r="H151" s="17"/>
    </row>
    <row r="152" spans="1:8" x14ac:dyDescent="0.25">
      <c r="A152" t="s">
        <v>26</v>
      </c>
      <c r="B152" t="s">
        <v>28</v>
      </c>
      <c r="D152" t="s">
        <v>31</v>
      </c>
      <c r="F152"/>
    </row>
    <row r="153" spans="1:8" x14ac:dyDescent="0.25">
      <c r="F153"/>
    </row>
    <row r="154" spans="1:8" x14ac:dyDescent="0.25">
      <c r="F154"/>
    </row>
    <row r="155" spans="1:8" x14ac:dyDescent="0.25">
      <c r="F155"/>
    </row>
    <row r="156" spans="1:8" x14ac:dyDescent="0.25">
      <c r="A156" t="s">
        <v>27</v>
      </c>
      <c r="B156" t="s">
        <v>29</v>
      </c>
      <c r="D156" t="s">
        <v>32</v>
      </c>
      <c r="F156"/>
    </row>
    <row r="157" spans="1:8" x14ac:dyDescent="0.25">
      <c r="A157" t="s">
        <v>223</v>
      </c>
      <c r="B157" t="s">
        <v>30</v>
      </c>
      <c r="D157" t="s">
        <v>33</v>
      </c>
      <c r="F157"/>
    </row>
  </sheetData>
  <mergeCells count="36">
    <mergeCell ref="A143:A151"/>
    <mergeCell ref="B22:B27"/>
    <mergeCell ref="B143:B147"/>
    <mergeCell ref="C143:C144"/>
    <mergeCell ref="A11:A20"/>
    <mergeCell ref="A22:A27"/>
    <mergeCell ref="A29:A38"/>
    <mergeCell ref="A45:A54"/>
    <mergeCell ref="A56:A65"/>
    <mergeCell ref="A67:A71"/>
    <mergeCell ref="B73:B75"/>
    <mergeCell ref="A74:A79"/>
    <mergeCell ref="B81:B84"/>
    <mergeCell ref="C81:C82"/>
    <mergeCell ref="B86:B122"/>
    <mergeCell ref="A88:A89"/>
    <mergeCell ref="A81:A84"/>
    <mergeCell ref="C56:C58"/>
    <mergeCell ref="B67:B68"/>
    <mergeCell ref="B29:B35"/>
    <mergeCell ref="B45:B52"/>
    <mergeCell ref="B56:B62"/>
    <mergeCell ref="G7:H7"/>
    <mergeCell ref="B11:B20"/>
    <mergeCell ref="C11:C12"/>
    <mergeCell ref="C22:C23"/>
    <mergeCell ref="A1:H1"/>
    <mergeCell ref="A2:H2"/>
    <mergeCell ref="A4:H4"/>
    <mergeCell ref="A5:H5"/>
    <mergeCell ref="A7:A8"/>
    <mergeCell ref="B7:B8"/>
    <mergeCell ref="C7:C8"/>
    <mergeCell ref="D7:D8"/>
    <mergeCell ref="E7:E8"/>
    <mergeCell ref="F7:F8"/>
  </mergeCells>
  <printOptions horizontalCentered="1"/>
  <pageMargins left="0.21" right="0.7" top="0.68" bottom="0.69" header="0.3" footer="0.4"/>
  <pageSetup paperSize="9" scale="80" orientation="landscape" verticalDpi="300" r:id="rId1"/>
  <headerFooter>
    <oddFooter>&amp;L1st District of Nueva Ecija&amp;CPage &amp;P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261</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79</v>
      </c>
      <c r="D8" s="224">
        <f>SUM(D9:D10)</f>
        <v>4</v>
      </c>
      <c r="E8" s="84">
        <f>SUM(E9:E10)</f>
        <v>2700000</v>
      </c>
    </row>
    <row r="9" spans="1:5" s="3" customFormat="1" ht="21.75" customHeight="1" x14ac:dyDescent="0.25">
      <c r="A9" s="870"/>
      <c r="B9" s="1066"/>
      <c r="C9" s="259" t="s">
        <v>262</v>
      </c>
      <c r="D9" s="260">
        <v>2</v>
      </c>
      <c r="E9" s="261">
        <v>1425000</v>
      </c>
    </row>
    <row r="10" spans="1:5" s="2" customFormat="1" ht="71.25" customHeight="1" x14ac:dyDescent="0.25">
      <c r="A10" s="873"/>
      <c r="B10" s="1065"/>
      <c r="C10" s="196" t="s">
        <v>263</v>
      </c>
      <c r="D10" s="233">
        <v>2</v>
      </c>
      <c r="E10" s="234">
        <v>1275000</v>
      </c>
    </row>
    <row r="11" spans="1:5" ht="21" customHeight="1" x14ac:dyDescent="0.25">
      <c r="A11" s="52"/>
      <c r="B11" s="258"/>
      <c r="C11" s="115"/>
      <c r="D11" s="251"/>
      <c r="E11" s="252"/>
    </row>
    <row r="12" spans="1:5" ht="15" customHeight="1" x14ac:dyDescent="0.25">
      <c r="A12" s="52"/>
      <c r="B12" s="258"/>
      <c r="C12" s="115"/>
      <c r="D12" s="251"/>
      <c r="E12" s="252"/>
    </row>
    <row r="13" spans="1:5" x14ac:dyDescent="0.25">
      <c r="A13" t="s">
        <v>27</v>
      </c>
      <c r="B13" t="s">
        <v>29</v>
      </c>
      <c r="D13" t="s">
        <v>32</v>
      </c>
    </row>
    <row r="14" spans="1:5" x14ac:dyDescent="0.25">
      <c r="A14" t="s">
        <v>223</v>
      </c>
      <c r="B14" t="s">
        <v>30</v>
      </c>
      <c r="D14" t="s">
        <v>33</v>
      </c>
    </row>
  </sheetData>
  <mergeCells count="10">
    <mergeCell ref="A8:A10"/>
    <mergeCell ref="B8:B10"/>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A64" workbookViewId="0">
      <selection activeCell="A6" sqref="A6:F12"/>
    </sheetView>
  </sheetViews>
  <sheetFormatPr defaultRowHeight="15" x14ac:dyDescent="0.25"/>
  <cols>
    <col min="1" max="1" width="30.85546875" customWidth="1"/>
    <col min="2" max="2" width="42" customWidth="1"/>
    <col min="3" max="3" width="15.85546875" customWidth="1"/>
    <col min="4" max="4" width="20.28515625" customWidth="1"/>
    <col min="5" max="5" width="10.85546875" customWidth="1"/>
    <col min="6" max="6" width="19.7109375" style="97" customWidth="1"/>
    <col min="7" max="7" width="13.140625" customWidth="1"/>
    <col min="8" max="8" width="20.285156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232</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181">
        <f>F11+F21+F27+F49+F59+F69+F114</f>
        <v>129858861</v>
      </c>
      <c r="G9" s="11"/>
      <c r="H9" s="181">
        <f>H11+H21+H27+H49+H59+H69+H114</f>
        <v>284689200</v>
      </c>
    </row>
    <row r="10" spans="1:8" s="8" customFormat="1" ht="4.5" customHeight="1" x14ac:dyDescent="0.25">
      <c r="A10" s="7"/>
      <c r="B10" s="7"/>
      <c r="C10" s="7"/>
      <c r="D10" s="7"/>
      <c r="E10" s="7"/>
      <c r="F10" s="93"/>
      <c r="G10" s="7"/>
      <c r="H10" s="7"/>
    </row>
    <row r="11" spans="1:8" s="3" customFormat="1" ht="19.5" customHeight="1" x14ac:dyDescent="0.25">
      <c r="A11" s="869" t="s">
        <v>5</v>
      </c>
      <c r="B11" s="867" t="s">
        <v>50</v>
      </c>
      <c r="C11" s="871" t="s">
        <v>21</v>
      </c>
      <c r="D11" s="70" t="s">
        <v>80</v>
      </c>
      <c r="E11" s="70">
        <f>SUM(E12:E19)</f>
        <v>17893</v>
      </c>
      <c r="F11" s="84">
        <f>SUM(F12:F19)</f>
        <v>106121000</v>
      </c>
      <c r="G11" s="70">
        <f>SUM(G12:G19)</f>
        <v>16597</v>
      </c>
      <c r="H11" s="71">
        <f>SUM(H12:H19)</f>
        <v>248955000</v>
      </c>
    </row>
    <row r="12" spans="1:8" s="9" customFormat="1" ht="21" customHeight="1" x14ac:dyDescent="0.25">
      <c r="A12" s="870"/>
      <c r="B12" s="868"/>
      <c r="C12" s="872"/>
      <c r="D12" s="83" t="s">
        <v>127</v>
      </c>
      <c r="E12" s="30">
        <v>2192</v>
      </c>
      <c r="F12" s="37">
        <v>13045900</v>
      </c>
      <c r="G12" s="4">
        <v>1</v>
      </c>
      <c r="H12" s="17">
        <v>15000</v>
      </c>
    </row>
    <row r="13" spans="1:8" s="16" customFormat="1" ht="15" customHeight="1" x14ac:dyDescent="0.25">
      <c r="A13" s="870"/>
      <c r="B13" s="868"/>
      <c r="C13" s="872"/>
      <c r="D13" s="83" t="s">
        <v>128</v>
      </c>
      <c r="E13" s="30">
        <v>1526</v>
      </c>
      <c r="F13" s="37">
        <v>8932200</v>
      </c>
      <c r="G13" s="4">
        <v>1620</v>
      </c>
      <c r="H13" s="17">
        <v>24300000</v>
      </c>
    </row>
    <row r="14" spans="1:8" s="1" customFormat="1" x14ac:dyDescent="0.25">
      <c r="A14" s="870"/>
      <c r="B14" s="868"/>
      <c r="C14" s="872"/>
      <c r="D14" s="83" t="s">
        <v>129</v>
      </c>
      <c r="E14" s="30">
        <v>2349</v>
      </c>
      <c r="F14" s="37">
        <v>13991400</v>
      </c>
      <c r="G14" s="4">
        <v>2514</v>
      </c>
      <c r="H14" s="17">
        <v>37710000</v>
      </c>
    </row>
    <row r="15" spans="1:8" s="1" customFormat="1" x14ac:dyDescent="0.25">
      <c r="A15" s="870"/>
      <c r="B15" s="868"/>
      <c r="C15" s="872"/>
      <c r="D15" s="83" t="s">
        <v>130</v>
      </c>
      <c r="E15" s="30">
        <v>1319</v>
      </c>
      <c r="F15" s="37">
        <v>5724200</v>
      </c>
      <c r="G15" s="4">
        <v>1362</v>
      </c>
      <c r="H15" s="17">
        <v>20430000</v>
      </c>
    </row>
    <row r="16" spans="1:8" s="1" customFormat="1" x14ac:dyDescent="0.25">
      <c r="A16" s="870"/>
      <c r="B16" s="868"/>
      <c r="C16" s="872"/>
      <c r="D16" s="83" t="s">
        <v>131</v>
      </c>
      <c r="E16" s="30">
        <v>2101</v>
      </c>
      <c r="F16" s="37">
        <v>13473300</v>
      </c>
      <c r="G16" s="4">
        <v>2208</v>
      </c>
      <c r="H16" s="17">
        <v>33120000</v>
      </c>
    </row>
    <row r="17" spans="1:8" s="1" customFormat="1" x14ac:dyDescent="0.25">
      <c r="A17" s="870"/>
      <c r="B17" s="868"/>
      <c r="C17" s="872"/>
      <c r="D17" s="83" t="s">
        <v>132</v>
      </c>
      <c r="E17" s="30">
        <v>4156</v>
      </c>
      <c r="F17" s="37">
        <v>25632900</v>
      </c>
      <c r="G17" s="4">
        <v>4262</v>
      </c>
      <c r="H17" s="17">
        <v>63930000</v>
      </c>
    </row>
    <row r="18" spans="1:8" s="1" customFormat="1" ht="30" x14ac:dyDescent="0.25">
      <c r="A18" s="870"/>
      <c r="B18" s="868"/>
      <c r="C18" s="872"/>
      <c r="D18" s="83" t="s">
        <v>133</v>
      </c>
      <c r="E18" s="30">
        <v>2953</v>
      </c>
      <c r="F18" s="37">
        <v>17050500</v>
      </c>
      <c r="G18" s="4">
        <v>4303</v>
      </c>
      <c r="H18" s="17">
        <v>64545000</v>
      </c>
    </row>
    <row r="19" spans="1:8" s="1" customFormat="1" x14ac:dyDescent="0.25">
      <c r="A19" s="873"/>
      <c r="B19" s="874"/>
      <c r="C19" s="875"/>
      <c r="D19" s="83" t="s">
        <v>134</v>
      </c>
      <c r="E19" s="30">
        <v>1297</v>
      </c>
      <c r="F19" s="37">
        <v>8270600</v>
      </c>
      <c r="G19" s="4">
        <v>327</v>
      </c>
      <c r="H19" s="17">
        <v>4905000</v>
      </c>
    </row>
    <row r="20" spans="1:8" s="8" customFormat="1" ht="4.5" customHeight="1" x14ac:dyDescent="0.25">
      <c r="A20" s="7"/>
      <c r="B20" s="7"/>
      <c r="C20" s="7"/>
      <c r="D20" s="7"/>
      <c r="E20" s="7"/>
      <c r="F20" s="93"/>
      <c r="G20" s="7"/>
      <c r="H20" s="7"/>
    </row>
    <row r="21" spans="1:8" s="9" customFormat="1" ht="18" customHeight="1" x14ac:dyDescent="0.25">
      <c r="A21" s="869" t="s">
        <v>61</v>
      </c>
      <c r="B21" s="831" t="s">
        <v>62</v>
      </c>
      <c r="C21" s="871" t="s">
        <v>21</v>
      </c>
      <c r="D21" s="70" t="s">
        <v>80</v>
      </c>
      <c r="E21" s="70">
        <f>SUM(E22:E25)</f>
        <v>88</v>
      </c>
      <c r="F21" s="84">
        <f>SUM(F22:F25)</f>
        <v>381500</v>
      </c>
      <c r="G21" s="70">
        <f>SUM(G22:G25)</f>
        <v>0</v>
      </c>
      <c r="H21" s="71">
        <f>SUM(H22:H25)</f>
        <v>0</v>
      </c>
    </row>
    <row r="22" spans="1:8" s="1" customFormat="1" x14ac:dyDescent="0.25">
      <c r="A22" s="870"/>
      <c r="B22" s="832"/>
      <c r="C22" s="872"/>
      <c r="D22" s="83" t="s">
        <v>130</v>
      </c>
      <c r="E22" s="30">
        <v>42</v>
      </c>
      <c r="F22" s="37">
        <v>184400</v>
      </c>
      <c r="G22" s="4"/>
      <c r="H22" s="17"/>
    </row>
    <row r="23" spans="1:8" s="1" customFormat="1" x14ac:dyDescent="0.25">
      <c r="A23" s="870"/>
      <c r="B23" s="832"/>
      <c r="C23" s="872"/>
      <c r="D23" s="83" t="s">
        <v>131</v>
      </c>
      <c r="E23" s="30">
        <v>9</v>
      </c>
      <c r="F23" s="37">
        <v>30200</v>
      </c>
      <c r="G23" s="4"/>
      <c r="H23" s="17"/>
    </row>
    <row r="24" spans="1:8" s="1" customFormat="1" x14ac:dyDescent="0.25">
      <c r="A24" s="870"/>
      <c r="B24" s="832"/>
      <c r="C24" s="872"/>
      <c r="D24" s="83" t="s">
        <v>132</v>
      </c>
      <c r="E24" s="30">
        <v>34</v>
      </c>
      <c r="F24" s="37">
        <v>160300</v>
      </c>
      <c r="G24" s="4"/>
      <c r="H24" s="17"/>
    </row>
    <row r="25" spans="1:8" s="1" customFormat="1" ht="41.25" customHeight="1" x14ac:dyDescent="0.25">
      <c r="A25" s="873"/>
      <c r="B25" s="832"/>
      <c r="C25" s="875"/>
      <c r="D25" s="195" t="s">
        <v>133</v>
      </c>
      <c r="E25" s="233">
        <v>3</v>
      </c>
      <c r="F25" s="234">
        <v>6600</v>
      </c>
      <c r="G25" s="196"/>
      <c r="H25" s="197"/>
    </row>
    <row r="26" spans="1:8" s="8" customFormat="1" ht="4.5" customHeight="1" x14ac:dyDescent="0.25">
      <c r="A26" s="7"/>
      <c r="B26" s="7"/>
      <c r="C26" s="7"/>
      <c r="D26" s="7"/>
      <c r="E26" s="7"/>
      <c r="F26" s="93"/>
      <c r="G26" s="7"/>
      <c r="H26" s="7"/>
    </row>
    <row r="27" spans="1:8" s="9" customFormat="1" ht="27" customHeight="1" x14ac:dyDescent="0.25">
      <c r="A27" s="869" t="s">
        <v>7</v>
      </c>
      <c r="B27" s="867" t="s">
        <v>52</v>
      </c>
      <c r="C27" s="871" t="s">
        <v>53</v>
      </c>
      <c r="D27" s="70" t="s">
        <v>80</v>
      </c>
      <c r="E27" s="70">
        <f>SUM(E28:E35)</f>
        <v>955</v>
      </c>
      <c r="F27" s="84">
        <f>SUM(F28:F35)</f>
        <v>4950000</v>
      </c>
      <c r="G27" s="70">
        <f>SUM(G28:G35)</f>
        <v>510</v>
      </c>
      <c r="H27" s="71">
        <f>SUM(H28:H35)</f>
        <v>3000000</v>
      </c>
    </row>
    <row r="28" spans="1:8" s="9" customFormat="1" ht="17.25" customHeight="1" x14ac:dyDescent="0.25">
      <c r="A28" s="870"/>
      <c r="B28" s="868"/>
      <c r="C28" s="872"/>
      <c r="D28" s="83" t="s">
        <v>127</v>
      </c>
      <c r="E28" s="30">
        <f>480+140</f>
        <v>620</v>
      </c>
      <c r="F28" s="37">
        <f>2400000+700000</f>
        <v>3100000</v>
      </c>
      <c r="G28" s="4">
        <v>150</v>
      </c>
      <c r="H28" s="17">
        <v>750000</v>
      </c>
    </row>
    <row r="29" spans="1:8" s="16" customFormat="1" ht="15" customHeight="1" x14ac:dyDescent="0.25">
      <c r="A29" s="870"/>
      <c r="B29" s="868"/>
      <c r="C29" s="872"/>
      <c r="D29" s="83" t="s">
        <v>128</v>
      </c>
      <c r="E29" s="30"/>
      <c r="F29" s="37"/>
      <c r="G29" s="4">
        <v>20</v>
      </c>
      <c r="H29" s="17">
        <v>150000</v>
      </c>
    </row>
    <row r="30" spans="1:8" s="1" customFormat="1" x14ac:dyDescent="0.25">
      <c r="A30" s="870"/>
      <c r="B30" s="868"/>
      <c r="C30" s="872"/>
      <c r="D30" s="83" t="s">
        <v>129</v>
      </c>
      <c r="E30" s="30"/>
      <c r="F30" s="37"/>
      <c r="G30" s="4">
        <v>15</v>
      </c>
      <c r="H30" s="17">
        <v>150000</v>
      </c>
    </row>
    <row r="31" spans="1:8" s="1" customFormat="1" x14ac:dyDescent="0.25">
      <c r="A31" s="870"/>
      <c r="B31" s="868"/>
      <c r="C31" s="872"/>
      <c r="D31" s="83" t="s">
        <v>130</v>
      </c>
      <c r="E31" s="30">
        <f>25</f>
        <v>25</v>
      </c>
      <c r="F31" s="37">
        <f>125000</f>
        <v>125000</v>
      </c>
      <c r="G31" s="4">
        <v>25</v>
      </c>
      <c r="H31" s="17">
        <v>300000</v>
      </c>
    </row>
    <row r="32" spans="1:8" s="1" customFormat="1" x14ac:dyDescent="0.25">
      <c r="A32" s="870"/>
      <c r="B32" s="868"/>
      <c r="C32" s="872"/>
      <c r="D32" s="83" t="s">
        <v>131</v>
      </c>
      <c r="E32" s="30">
        <f>15</f>
        <v>15</v>
      </c>
      <c r="F32" s="37">
        <f>150000</f>
        <v>150000</v>
      </c>
      <c r="G32" s="4">
        <v>60</v>
      </c>
      <c r="H32" s="17">
        <v>300000</v>
      </c>
    </row>
    <row r="33" spans="1:8" s="1" customFormat="1" x14ac:dyDescent="0.25">
      <c r="A33" s="870"/>
      <c r="B33" s="868"/>
      <c r="C33" s="872"/>
      <c r="D33" s="83" t="s">
        <v>132</v>
      </c>
      <c r="E33" s="30"/>
      <c r="F33" s="37"/>
      <c r="G33" s="4">
        <v>30</v>
      </c>
      <c r="H33" s="17">
        <v>300000</v>
      </c>
    </row>
    <row r="34" spans="1:8" s="1" customFormat="1" ht="15.75" customHeight="1" x14ac:dyDescent="0.25">
      <c r="A34" s="870"/>
      <c r="B34" s="868"/>
      <c r="C34" s="872"/>
      <c r="D34" s="83" t="s">
        <v>133</v>
      </c>
      <c r="E34" s="30"/>
      <c r="F34" s="37"/>
      <c r="G34" s="4">
        <v>60</v>
      </c>
      <c r="H34" s="17">
        <v>300000</v>
      </c>
    </row>
    <row r="35" spans="1:8" s="1" customFormat="1" x14ac:dyDescent="0.25">
      <c r="A35" s="873"/>
      <c r="B35" s="874"/>
      <c r="C35" s="875"/>
      <c r="D35" s="83" t="s">
        <v>134</v>
      </c>
      <c r="E35" s="30">
        <f>270+25</f>
        <v>295</v>
      </c>
      <c r="F35" s="37">
        <f>1450000+125000</f>
        <v>1575000</v>
      </c>
      <c r="G35" s="4">
        <v>150</v>
      </c>
      <c r="H35" s="17">
        <v>750000</v>
      </c>
    </row>
    <row r="36" spans="1:8" s="123" customFormat="1" ht="4.5" customHeight="1" x14ac:dyDescent="0.25">
      <c r="F36" s="174"/>
    </row>
    <row r="37" spans="1:8" s="123" customFormat="1" ht="4.5" customHeight="1" x14ac:dyDescent="0.25">
      <c r="F37" s="174"/>
    </row>
    <row r="38" spans="1:8" s="123" customFormat="1" ht="4.5" customHeight="1" x14ac:dyDescent="0.25">
      <c r="F38" s="174"/>
    </row>
    <row r="39" spans="1:8" s="123" customFormat="1" ht="4.5" customHeight="1" x14ac:dyDescent="0.25">
      <c r="F39" s="174"/>
    </row>
    <row r="40" spans="1:8" s="123" customFormat="1" ht="4.5" customHeight="1" x14ac:dyDescent="0.25">
      <c r="F40" s="174"/>
    </row>
    <row r="41" spans="1:8" s="123" customFormat="1" ht="4.5" customHeight="1" x14ac:dyDescent="0.25">
      <c r="F41" s="174"/>
    </row>
    <row r="42" spans="1:8" s="123" customFormat="1" ht="4.5" customHeight="1" x14ac:dyDescent="0.25">
      <c r="F42" s="174"/>
    </row>
    <row r="43" spans="1:8" s="123" customFormat="1" ht="4.5" customHeight="1" x14ac:dyDescent="0.25">
      <c r="F43" s="174"/>
    </row>
    <row r="44" spans="1:8" s="123" customFormat="1" ht="4.5" customHeight="1" x14ac:dyDescent="0.25">
      <c r="F44" s="174"/>
    </row>
    <row r="45" spans="1:8" s="123" customFormat="1" ht="4.5" customHeight="1" x14ac:dyDescent="0.25">
      <c r="F45" s="174"/>
    </row>
    <row r="46" spans="1:8" s="123" customFormat="1" ht="4.5" customHeight="1" x14ac:dyDescent="0.25">
      <c r="F46" s="174"/>
    </row>
    <row r="47" spans="1:8" s="123" customFormat="1" ht="4.5" customHeight="1" x14ac:dyDescent="0.25">
      <c r="F47" s="174"/>
    </row>
    <row r="48" spans="1:8" s="123" customFormat="1" ht="4.5" customHeight="1" x14ac:dyDescent="0.25">
      <c r="F48" s="174"/>
    </row>
    <row r="49" spans="1:8" s="9" customFormat="1" ht="20.25" customHeight="1" x14ac:dyDescent="0.25">
      <c r="A49" s="869" t="s">
        <v>6</v>
      </c>
      <c r="B49" s="867" t="s">
        <v>54</v>
      </c>
      <c r="C49" s="869" t="s">
        <v>20</v>
      </c>
      <c r="D49" s="70" t="s">
        <v>80</v>
      </c>
      <c r="E49" s="70">
        <f>SUM(E50:E57)</f>
        <v>9558</v>
      </c>
      <c r="F49" s="84">
        <f>SUM(F50:F57)</f>
        <v>13703120</v>
      </c>
      <c r="G49" s="70">
        <f>SUM(G50:G57)</f>
        <v>12245</v>
      </c>
      <c r="H49" s="71">
        <f>SUM(H50:H57)</f>
        <v>19102200</v>
      </c>
    </row>
    <row r="50" spans="1:8" s="9" customFormat="1" ht="18.75" customHeight="1" x14ac:dyDescent="0.25">
      <c r="A50" s="870"/>
      <c r="B50" s="868"/>
      <c r="C50" s="870"/>
      <c r="D50" s="83" t="s">
        <v>127</v>
      </c>
      <c r="E50" s="30">
        <v>900</v>
      </c>
      <c r="F50" s="37">
        <v>1414800</v>
      </c>
      <c r="G50" s="4">
        <v>1580</v>
      </c>
      <c r="H50" s="17">
        <v>2464800</v>
      </c>
    </row>
    <row r="51" spans="1:8" s="16" customFormat="1" ht="15" customHeight="1" x14ac:dyDescent="0.25">
      <c r="A51" s="870"/>
      <c r="B51" s="868"/>
      <c r="C51" s="870"/>
      <c r="D51" s="83" t="s">
        <v>128</v>
      </c>
      <c r="E51" s="30">
        <v>833</v>
      </c>
      <c r="F51" s="37">
        <v>1309480</v>
      </c>
      <c r="G51" s="4">
        <v>1000</v>
      </c>
      <c r="H51" s="17">
        <v>1560000</v>
      </c>
    </row>
    <row r="52" spans="1:8" s="1" customFormat="1" x14ac:dyDescent="0.25">
      <c r="A52" s="870"/>
      <c r="B52" s="868"/>
      <c r="C52" s="870"/>
      <c r="D52" s="83" t="s">
        <v>129</v>
      </c>
      <c r="E52" s="30">
        <v>904</v>
      </c>
      <c r="F52" s="37">
        <f>1421090</f>
        <v>1421090</v>
      </c>
      <c r="G52" s="4">
        <v>1100</v>
      </c>
      <c r="H52" s="17">
        <v>1716000</v>
      </c>
    </row>
    <row r="53" spans="1:8" s="1" customFormat="1" x14ac:dyDescent="0.25">
      <c r="A53" s="870"/>
      <c r="B53" s="868"/>
      <c r="C53" s="870"/>
      <c r="D53" s="83" t="s">
        <v>130</v>
      </c>
      <c r="E53" s="30">
        <v>841</v>
      </c>
      <c r="F53" s="37" t="s">
        <v>206</v>
      </c>
      <c r="G53" s="4">
        <v>1269</v>
      </c>
      <c r="H53" s="17">
        <v>1979640</v>
      </c>
    </row>
    <row r="54" spans="1:8" s="1" customFormat="1" x14ac:dyDescent="0.25">
      <c r="A54" s="870"/>
      <c r="B54" s="868"/>
      <c r="C54" s="870"/>
      <c r="D54" s="83" t="s">
        <v>131</v>
      </c>
      <c r="E54" s="30">
        <v>1256</v>
      </c>
      <c r="F54" s="37">
        <v>1974410</v>
      </c>
      <c r="G54" s="4">
        <v>1507</v>
      </c>
      <c r="H54" s="17">
        <v>2350920</v>
      </c>
    </row>
    <row r="55" spans="1:8" s="1" customFormat="1" x14ac:dyDescent="0.25">
      <c r="A55" s="870"/>
      <c r="B55" s="868"/>
      <c r="C55" s="870"/>
      <c r="D55" s="83" t="s">
        <v>132</v>
      </c>
      <c r="E55" s="30">
        <v>2458</v>
      </c>
      <c r="F55" s="37">
        <v>3863980</v>
      </c>
      <c r="G55" s="4">
        <v>2950</v>
      </c>
      <c r="H55" s="17">
        <v>4602000</v>
      </c>
    </row>
    <row r="56" spans="1:8" s="1" customFormat="1" ht="30" x14ac:dyDescent="0.25">
      <c r="A56" s="870"/>
      <c r="B56" s="868"/>
      <c r="C56" s="870"/>
      <c r="D56" s="83" t="s">
        <v>133</v>
      </c>
      <c r="E56" s="30">
        <v>1650</v>
      </c>
      <c r="F56" s="37">
        <v>2593800</v>
      </c>
      <c r="G56" s="4">
        <v>1980</v>
      </c>
      <c r="H56" s="17">
        <v>3088800</v>
      </c>
    </row>
    <row r="57" spans="1:8" s="1" customFormat="1" x14ac:dyDescent="0.25">
      <c r="A57" s="873"/>
      <c r="B57" s="874"/>
      <c r="C57" s="873"/>
      <c r="D57" s="83" t="s">
        <v>134</v>
      </c>
      <c r="E57" s="30">
        <v>716</v>
      </c>
      <c r="F57" s="37">
        <v>1125560</v>
      </c>
      <c r="G57" s="4">
        <v>859</v>
      </c>
      <c r="H57" s="17">
        <v>1340040</v>
      </c>
    </row>
    <row r="58" spans="1:8" s="8" customFormat="1" ht="3.75" customHeight="1" x14ac:dyDescent="0.25">
      <c r="A58" s="7"/>
      <c r="B58" s="7"/>
      <c r="C58" s="7"/>
      <c r="D58" s="7"/>
      <c r="E58" s="7"/>
      <c r="F58" s="93"/>
      <c r="G58" s="7"/>
      <c r="H58" s="7"/>
    </row>
    <row r="59" spans="1:8" s="9" customFormat="1" ht="24" customHeight="1" x14ac:dyDescent="0.25">
      <c r="A59" s="869" t="s">
        <v>16</v>
      </c>
      <c r="B59" s="869" t="s">
        <v>55</v>
      </c>
      <c r="C59" s="869" t="s">
        <v>19</v>
      </c>
      <c r="D59" s="70" t="s">
        <v>80</v>
      </c>
      <c r="E59" s="70">
        <f>SUM(E60:E67)</f>
        <v>1042</v>
      </c>
      <c r="F59" s="84">
        <f>SUM(F60:F67)</f>
        <v>4448500</v>
      </c>
      <c r="G59" s="70">
        <f>SUM(G60:G67)</f>
        <v>2272</v>
      </c>
      <c r="H59" s="71">
        <f>SUM(H60:H67)</f>
        <v>13632000</v>
      </c>
    </row>
    <row r="60" spans="1:8" s="9" customFormat="1" ht="18" customHeight="1" x14ac:dyDescent="0.25">
      <c r="A60" s="870"/>
      <c r="B60" s="870"/>
      <c r="C60" s="870"/>
      <c r="D60" s="83" t="s">
        <v>127</v>
      </c>
      <c r="E60" s="30">
        <v>133</v>
      </c>
      <c r="F60" s="37">
        <v>581000</v>
      </c>
      <c r="G60" s="4">
        <v>283</v>
      </c>
      <c r="H60" s="17">
        <v>1698000</v>
      </c>
    </row>
    <row r="61" spans="1:8" s="16" customFormat="1" ht="15" customHeight="1" x14ac:dyDescent="0.25">
      <c r="A61" s="870"/>
      <c r="B61" s="870"/>
      <c r="C61" s="870"/>
      <c r="D61" s="83" t="s">
        <v>128</v>
      </c>
      <c r="E61" s="30">
        <v>75</v>
      </c>
      <c r="F61" s="37">
        <v>294000</v>
      </c>
      <c r="G61" s="4">
        <v>230</v>
      </c>
      <c r="H61" s="17">
        <v>1380000</v>
      </c>
    </row>
    <row r="62" spans="1:8" s="1" customFormat="1" x14ac:dyDescent="0.25">
      <c r="A62" s="870"/>
      <c r="B62" s="870"/>
      <c r="C62" s="870"/>
      <c r="D62" s="83" t="s">
        <v>129</v>
      </c>
      <c r="E62" s="30">
        <v>118</v>
      </c>
      <c r="F62" s="37">
        <v>509000</v>
      </c>
      <c r="G62" s="4">
        <v>268</v>
      </c>
      <c r="H62" s="17">
        <v>1608000</v>
      </c>
    </row>
    <row r="63" spans="1:8" s="1" customFormat="1" x14ac:dyDescent="0.25">
      <c r="A63" s="870"/>
      <c r="B63" s="870"/>
      <c r="C63" s="870"/>
      <c r="D63" s="83" t="s">
        <v>130</v>
      </c>
      <c r="E63" s="30">
        <v>65</v>
      </c>
      <c r="F63" s="37">
        <v>233500</v>
      </c>
      <c r="G63" s="4">
        <v>215</v>
      </c>
      <c r="H63" s="17">
        <v>1290000</v>
      </c>
    </row>
    <row r="64" spans="1:8" s="1" customFormat="1" x14ac:dyDescent="0.25">
      <c r="A64" s="870"/>
      <c r="B64" s="870"/>
      <c r="C64" s="870"/>
      <c r="D64" s="83" t="s">
        <v>131</v>
      </c>
      <c r="E64" s="30">
        <v>124</v>
      </c>
      <c r="F64" s="37">
        <v>540000</v>
      </c>
      <c r="G64" s="4">
        <v>284</v>
      </c>
      <c r="H64" s="17">
        <v>1704000</v>
      </c>
    </row>
    <row r="65" spans="1:8" s="1" customFormat="1" x14ac:dyDescent="0.25">
      <c r="A65" s="870"/>
      <c r="B65" s="870"/>
      <c r="C65" s="870"/>
      <c r="D65" s="83" t="s">
        <v>132</v>
      </c>
      <c r="E65" s="30">
        <v>177</v>
      </c>
      <c r="F65" s="37">
        <v>747500</v>
      </c>
      <c r="G65" s="4">
        <v>332</v>
      </c>
      <c r="H65" s="17">
        <v>1992000</v>
      </c>
    </row>
    <row r="66" spans="1:8" s="1" customFormat="1" ht="15.75" customHeight="1" x14ac:dyDescent="0.25">
      <c r="A66" s="870"/>
      <c r="B66" s="870"/>
      <c r="C66" s="870"/>
      <c r="D66" s="83" t="s">
        <v>133</v>
      </c>
      <c r="E66" s="30">
        <v>185</v>
      </c>
      <c r="F66" s="37">
        <v>803000</v>
      </c>
      <c r="G66" s="4">
        <v>340</v>
      </c>
      <c r="H66" s="17">
        <v>2040000</v>
      </c>
    </row>
    <row r="67" spans="1:8" s="1" customFormat="1" x14ac:dyDescent="0.25">
      <c r="A67" s="873"/>
      <c r="B67" s="873"/>
      <c r="C67" s="873"/>
      <c r="D67" s="83" t="s">
        <v>134</v>
      </c>
      <c r="E67" s="30">
        <v>165</v>
      </c>
      <c r="F67" s="37">
        <v>740500</v>
      </c>
      <c r="G67" s="4">
        <v>320</v>
      </c>
      <c r="H67" s="17">
        <v>1920000</v>
      </c>
    </row>
    <row r="68" spans="1:8" s="8" customFormat="1" ht="5.25" customHeight="1" x14ac:dyDescent="0.25">
      <c r="A68" s="7"/>
      <c r="B68" s="7"/>
      <c r="C68" s="7"/>
      <c r="D68" s="7"/>
      <c r="E68" s="7"/>
      <c r="F68" s="93"/>
      <c r="G68" s="7"/>
      <c r="H68" s="7"/>
    </row>
    <row r="69" spans="1:8" s="9" customFormat="1" ht="24" customHeight="1" x14ac:dyDescent="0.25">
      <c r="A69" s="869" t="s">
        <v>17</v>
      </c>
      <c r="B69" s="876" t="s">
        <v>56</v>
      </c>
      <c r="C69" s="869" t="s">
        <v>18</v>
      </c>
      <c r="D69" s="70" t="s">
        <v>80</v>
      </c>
      <c r="E69" s="70">
        <f>SUM(E70:E74)</f>
        <v>11</v>
      </c>
      <c r="F69" s="84">
        <f>SUM(F70:F74)</f>
        <v>42241</v>
      </c>
      <c r="G69" s="70">
        <f>SUM(G70:G74)</f>
        <v>0</v>
      </c>
      <c r="H69" s="71">
        <f>SUM(H70:H74)</f>
        <v>0</v>
      </c>
    </row>
    <row r="70" spans="1:8" s="16" customFormat="1" ht="15" customHeight="1" x14ac:dyDescent="0.25">
      <c r="A70" s="870"/>
      <c r="B70" s="877"/>
      <c r="C70" s="870"/>
      <c r="D70" s="83" t="s">
        <v>128</v>
      </c>
      <c r="E70" s="30">
        <f>1</f>
        <v>1</v>
      </c>
      <c r="F70" s="37">
        <f>1000</f>
        <v>1000</v>
      </c>
      <c r="G70" s="4"/>
      <c r="H70" s="17"/>
    </row>
    <row r="71" spans="1:8" s="1" customFormat="1" x14ac:dyDescent="0.25">
      <c r="A71" s="870"/>
      <c r="B71" s="877"/>
      <c r="C71" s="870"/>
      <c r="D71" s="83" t="s">
        <v>129</v>
      </c>
      <c r="E71" s="30">
        <f>2</f>
        <v>2</v>
      </c>
      <c r="F71" s="37">
        <f>3000</f>
        <v>3000</v>
      </c>
      <c r="G71" s="4"/>
      <c r="H71" s="17"/>
    </row>
    <row r="72" spans="1:8" s="1" customFormat="1" x14ac:dyDescent="0.25">
      <c r="A72" s="870"/>
      <c r="B72" s="877"/>
      <c r="C72" s="870"/>
      <c r="D72" s="83" t="s">
        <v>130</v>
      </c>
      <c r="E72" s="30">
        <f>1</f>
        <v>1</v>
      </c>
      <c r="F72" s="37">
        <f>2500</f>
        <v>2500</v>
      </c>
      <c r="G72" s="4"/>
      <c r="H72" s="17"/>
    </row>
    <row r="73" spans="1:8" s="1" customFormat="1" x14ac:dyDescent="0.25">
      <c r="A73" s="870"/>
      <c r="B73" s="877"/>
      <c r="C73" s="870"/>
      <c r="D73" s="83" t="s">
        <v>131</v>
      </c>
      <c r="E73" s="30">
        <f>2+2+1+1</f>
        <v>6</v>
      </c>
      <c r="F73" s="37">
        <f>3741+2500+2000+2500</f>
        <v>10741</v>
      </c>
      <c r="G73" s="4"/>
      <c r="H73" s="17"/>
    </row>
    <row r="74" spans="1:8" s="1" customFormat="1" x14ac:dyDescent="0.25">
      <c r="A74" s="873"/>
      <c r="B74" s="878"/>
      <c r="C74" s="873"/>
      <c r="D74" s="83" t="s">
        <v>132</v>
      </c>
      <c r="E74" s="30">
        <f>1</f>
        <v>1</v>
      </c>
      <c r="F74" s="37">
        <f>25000</f>
        <v>25000</v>
      </c>
      <c r="G74" s="4"/>
      <c r="H74" s="17"/>
    </row>
    <row r="75" spans="1:8" s="8" customFormat="1" ht="6" hidden="1" customHeight="1" x14ac:dyDescent="0.25">
      <c r="A75" s="7"/>
      <c r="B75" s="7"/>
      <c r="C75" s="7"/>
      <c r="D75" s="7"/>
      <c r="E75" s="7"/>
      <c r="F75" s="93"/>
      <c r="G75" s="7"/>
      <c r="H75" s="7"/>
    </row>
    <row r="76" spans="1:8" s="9" customFormat="1" ht="30" hidden="1" customHeight="1" x14ac:dyDescent="0.25">
      <c r="A76" s="214" t="s">
        <v>63</v>
      </c>
      <c r="B76" s="831" t="s">
        <v>64</v>
      </c>
      <c r="C76" s="6" t="s">
        <v>65</v>
      </c>
      <c r="D76" s="155" t="s">
        <v>81</v>
      </c>
      <c r="E76" s="161" t="e">
        <f>SUM(#REF!)</f>
        <v>#REF!</v>
      </c>
      <c r="F76" s="158" t="e">
        <f>SUM(#REF!)</f>
        <v>#REF!</v>
      </c>
      <c r="G76" s="63" t="e">
        <f>#REF!+#REF!</f>
        <v>#REF!</v>
      </c>
      <c r="H76" s="78" t="e">
        <f>#REF!+#REF!</f>
        <v>#REF!</v>
      </c>
    </row>
    <row r="77" spans="1:8" s="9" customFormat="1" ht="30" hidden="1" customHeight="1" x14ac:dyDescent="0.25">
      <c r="A77" s="214"/>
      <c r="B77" s="879"/>
      <c r="C77" s="6"/>
      <c r="D77" s="70" t="s">
        <v>79</v>
      </c>
      <c r="E77" s="64"/>
      <c r="F77" s="95"/>
      <c r="G77" s="63">
        <f>SUM(G78:G86)</f>
        <v>0</v>
      </c>
      <c r="H77" s="78">
        <f>SUM(H78:H86)</f>
        <v>0</v>
      </c>
    </row>
    <row r="78" spans="1:8" s="16" customFormat="1" ht="15" hidden="1" customHeight="1" x14ac:dyDescent="0.25">
      <c r="A78" s="869"/>
      <c r="B78" s="879"/>
      <c r="C78" s="6"/>
      <c r="D78" s="83" t="s">
        <v>118</v>
      </c>
      <c r="E78" s="44"/>
      <c r="F78" s="41"/>
      <c r="G78" s="15"/>
      <c r="H78" s="53"/>
    </row>
    <row r="79" spans="1:8" s="1" customFormat="1" ht="15" hidden="1" customHeight="1" x14ac:dyDescent="0.25">
      <c r="A79" s="870"/>
      <c r="B79" s="879"/>
      <c r="C79" s="6"/>
      <c r="D79" s="83" t="s">
        <v>119</v>
      </c>
      <c r="E79" s="44"/>
      <c r="F79" s="38"/>
      <c r="G79" s="20"/>
      <c r="H79" s="17"/>
    </row>
    <row r="80" spans="1:8" s="1" customFormat="1" ht="15" hidden="1" customHeight="1" x14ac:dyDescent="0.25">
      <c r="A80" s="55"/>
      <c r="B80" s="879"/>
      <c r="C80" s="6"/>
      <c r="D80" s="83" t="s">
        <v>120</v>
      </c>
      <c r="E80" s="44"/>
      <c r="F80" s="39"/>
      <c r="G80" s="20"/>
      <c r="H80" s="17"/>
    </row>
    <row r="81" spans="1:8" s="1" customFormat="1" ht="15" hidden="1" customHeight="1" x14ac:dyDescent="0.25">
      <c r="A81" s="55"/>
      <c r="B81" s="879"/>
      <c r="C81" s="6"/>
      <c r="D81" s="83" t="s">
        <v>121</v>
      </c>
      <c r="E81" s="44"/>
      <c r="F81" s="39"/>
      <c r="G81" s="20"/>
      <c r="H81" s="17"/>
    </row>
    <row r="82" spans="1:8" s="1" customFormat="1" ht="15" hidden="1" customHeight="1" x14ac:dyDescent="0.25">
      <c r="A82" s="55"/>
      <c r="B82" s="879"/>
      <c r="C82" s="6"/>
      <c r="D82" s="83" t="s">
        <v>122</v>
      </c>
      <c r="E82" s="44"/>
      <c r="F82" s="39"/>
      <c r="G82" s="20"/>
      <c r="H82" s="17"/>
    </row>
    <row r="83" spans="1:8" s="1" customFormat="1" ht="15" hidden="1" customHeight="1" x14ac:dyDescent="0.25">
      <c r="A83" s="55"/>
      <c r="B83" s="879"/>
      <c r="C83" s="6"/>
      <c r="D83" s="83" t="s">
        <v>123</v>
      </c>
      <c r="E83" s="44"/>
      <c r="F83" s="40"/>
      <c r="G83" s="20"/>
      <c r="H83" s="17"/>
    </row>
    <row r="84" spans="1:8" s="1" customFormat="1" ht="15" hidden="1" customHeight="1" x14ac:dyDescent="0.25">
      <c r="A84" s="55"/>
      <c r="B84" s="879"/>
      <c r="C84" s="6"/>
      <c r="D84" s="83" t="s">
        <v>124</v>
      </c>
      <c r="E84" s="44"/>
      <c r="F84" s="40"/>
      <c r="G84" s="20"/>
      <c r="H84" s="17"/>
    </row>
    <row r="85" spans="1:8" s="1" customFormat="1" ht="15" hidden="1" customHeight="1" x14ac:dyDescent="0.25">
      <c r="A85" s="55"/>
      <c r="B85" s="879"/>
      <c r="C85" s="6"/>
      <c r="D85" s="83" t="s">
        <v>125</v>
      </c>
      <c r="E85" s="44"/>
      <c r="F85" s="40"/>
      <c r="G85" s="20"/>
      <c r="H85" s="17"/>
    </row>
    <row r="86" spans="1:8" s="1" customFormat="1" ht="15" hidden="1" customHeight="1" x14ac:dyDescent="0.25">
      <c r="A86" s="55"/>
      <c r="B86" s="879"/>
      <c r="C86" s="6"/>
      <c r="D86" s="83" t="s">
        <v>126</v>
      </c>
      <c r="E86" s="44"/>
      <c r="F86" s="40"/>
      <c r="G86" s="20"/>
      <c r="H86" s="17"/>
    </row>
    <row r="87" spans="1:8" s="2" customFormat="1" ht="24" hidden="1" customHeight="1" x14ac:dyDescent="0.25">
      <c r="A87" s="211"/>
      <c r="B87" s="879"/>
      <c r="C87" s="6"/>
      <c r="D87" s="70" t="s">
        <v>80</v>
      </c>
      <c r="E87" s="70">
        <f>SUM(E88:E95)</f>
        <v>0</v>
      </c>
      <c r="F87" s="84">
        <f>SUM(F88:F95)</f>
        <v>0</v>
      </c>
      <c r="G87" s="70">
        <f>SUM(G88:G95)</f>
        <v>0</v>
      </c>
      <c r="H87" s="71">
        <f>SUM(H88:H95)</f>
        <v>0</v>
      </c>
    </row>
    <row r="88" spans="1:8" s="2" customFormat="1" ht="14.25" hidden="1" customHeight="1" x14ac:dyDescent="0.25">
      <c r="A88" s="211"/>
      <c r="B88" s="879"/>
      <c r="C88" s="6"/>
      <c r="D88" s="83" t="s">
        <v>127</v>
      </c>
      <c r="E88" s="30"/>
      <c r="F88" s="37"/>
      <c r="G88" s="4"/>
      <c r="H88" s="17"/>
    </row>
    <row r="89" spans="1:8" s="2" customFormat="1" ht="14.25" hidden="1" customHeight="1" x14ac:dyDescent="0.25">
      <c r="A89" s="211"/>
      <c r="B89" s="879"/>
      <c r="C89" s="6"/>
      <c r="D89" s="83" t="s">
        <v>128</v>
      </c>
      <c r="E89" s="30"/>
      <c r="F89" s="37"/>
      <c r="G89" s="4"/>
      <c r="H89" s="17"/>
    </row>
    <row r="90" spans="1:8" s="2" customFormat="1" ht="14.25" hidden="1" customHeight="1" x14ac:dyDescent="0.25">
      <c r="A90" s="211"/>
      <c r="B90" s="879"/>
      <c r="C90" s="6"/>
      <c r="D90" s="83" t="s">
        <v>129</v>
      </c>
      <c r="E90" s="30"/>
      <c r="F90" s="37"/>
      <c r="G90" s="4"/>
      <c r="H90" s="17"/>
    </row>
    <row r="91" spans="1:8" s="2" customFormat="1" ht="14.25" hidden="1" customHeight="1" x14ac:dyDescent="0.25">
      <c r="A91" s="211"/>
      <c r="B91" s="879"/>
      <c r="C91" s="6"/>
      <c r="D91" s="83" t="s">
        <v>130</v>
      </c>
      <c r="E91" s="30"/>
      <c r="F91" s="37"/>
      <c r="G91" s="4"/>
      <c r="H91" s="17"/>
    </row>
    <row r="92" spans="1:8" s="2" customFormat="1" ht="14.25" hidden="1" customHeight="1" x14ac:dyDescent="0.25">
      <c r="A92" s="211"/>
      <c r="B92" s="879"/>
      <c r="C92" s="6"/>
      <c r="D92" s="83" t="s">
        <v>131</v>
      </c>
      <c r="E92" s="30"/>
      <c r="F92" s="37"/>
      <c r="G92" s="4"/>
      <c r="H92" s="17"/>
    </row>
    <row r="93" spans="1:8" s="2" customFormat="1" ht="14.25" hidden="1" customHeight="1" x14ac:dyDescent="0.25">
      <c r="A93" s="211"/>
      <c r="B93" s="879"/>
      <c r="C93" s="6"/>
      <c r="D93" s="83" t="s">
        <v>132</v>
      </c>
      <c r="E93" s="30"/>
      <c r="F93" s="37"/>
      <c r="G93" s="4"/>
      <c r="H93" s="17"/>
    </row>
    <row r="94" spans="1:8" s="2" customFormat="1" ht="14.25" hidden="1" customHeight="1" x14ac:dyDescent="0.25">
      <c r="A94" s="211"/>
      <c r="B94" s="879"/>
      <c r="C94" s="6"/>
      <c r="D94" s="83" t="s">
        <v>133</v>
      </c>
      <c r="E94" s="30"/>
      <c r="F94" s="37"/>
      <c r="G94" s="4"/>
      <c r="H94" s="17"/>
    </row>
    <row r="95" spans="1:8" s="2" customFormat="1" ht="14.25" hidden="1" customHeight="1" x14ac:dyDescent="0.25">
      <c r="A95" s="211"/>
      <c r="B95" s="879"/>
      <c r="C95" s="6"/>
      <c r="D95" s="83" t="s">
        <v>134</v>
      </c>
      <c r="E95" s="30"/>
      <c r="F95" s="37"/>
      <c r="G95" s="4"/>
      <c r="H95" s="17"/>
    </row>
    <row r="96" spans="1:8" s="2" customFormat="1" ht="24" hidden="1" customHeight="1" x14ac:dyDescent="0.25">
      <c r="A96" s="211"/>
      <c r="B96" s="879"/>
      <c r="C96" s="6"/>
      <c r="D96" s="70" t="s">
        <v>97</v>
      </c>
      <c r="E96" s="70">
        <f>SUM(E97:E103)</f>
        <v>0</v>
      </c>
      <c r="F96" s="84">
        <f>SUM(F97:F103)</f>
        <v>0</v>
      </c>
      <c r="G96" s="70">
        <f>SUM(G97:G103)</f>
        <v>0</v>
      </c>
      <c r="H96" s="71">
        <f>SUM(H97:H103)</f>
        <v>0</v>
      </c>
    </row>
    <row r="97" spans="1:8" s="2" customFormat="1" ht="14.25" hidden="1" customHeight="1" x14ac:dyDescent="0.25">
      <c r="A97" s="211"/>
      <c r="B97" s="879"/>
      <c r="C97" s="6"/>
      <c r="D97" s="83" t="s">
        <v>135</v>
      </c>
      <c r="E97" s="30"/>
      <c r="F97" s="37"/>
      <c r="G97" s="4"/>
      <c r="H97" s="17"/>
    </row>
    <row r="98" spans="1:8" s="2" customFormat="1" ht="14.25" hidden="1" customHeight="1" x14ac:dyDescent="0.25">
      <c r="A98" s="211"/>
      <c r="B98" s="879"/>
      <c r="C98" s="6"/>
      <c r="D98" s="83" t="s">
        <v>136</v>
      </c>
      <c r="E98" s="30"/>
      <c r="F98" s="37"/>
      <c r="G98" s="4"/>
      <c r="H98" s="17"/>
    </row>
    <row r="99" spans="1:8" s="2" customFormat="1" ht="14.25" hidden="1" customHeight="1" x14ac:dyDescent="0.25">
      <c r="A99" s="211"/>
      <c r="B99" s="879"/>
      <c r="C99" s="6"/>
      <c r="D99" s="83" t="s">
        <v>137</v>
      </c>
      <c r="E99" s="30"/>
      <c r="F99" s="37"/>
      <c r="G99" s="4"/>
      <c r="H99" s="17"/>
    </row>
    <row r="100" spans="1:8" s="2" customFormat="1" ht="14.25" hidden="1" customHeight="1" x14ac:dyDescent="0.25">
      <c r="A100" s="211"/>
      <c r="B100" s="879"/>
      <c r="C100" s="6"/>
      <c r="D100" s="83" t="s">
        <v>138</v>
      </c>
      <c r="E100" s="30"/>
      <c r="F100" s="37"/>
      <c r="G100" s="4"/>
      <c r="H100" s="17"/>
    </row>
    <row r="101" spans="1:8" s="2" customFormat="1" ht="14.25" hidden="1" customHeight="1" x14ac:dyDescent="0.25">
      <c r="A101" s="211"/>
      <c r="B101" s="879"/>
      <c r="C101" s="6"/>
      <c r="D101" s="83" t="s">
        <v>139</v>
      </c>
      <c r="E101" s="30"/>
      <c r="F101" s="37"/>
      <c r="G101" s="4"/>
      <c r="H101" s="17"/>
    </row>
    <row r="102" spans="1:8" s="2" customFormat="1" ht="14.25" hidden="1" customHeight="1" x14ac:dyDescent="0.25">
      <c r="A102" s="211"/>
      <c r="B102" s="879"/>
      <c r="C102" s="6"/>
      <c r="D102" s="83" t="s">
        <v>140</v>
      </c>
      <c r="E102" s="30"/>
      <c r="F102" s="37"/>
      <c r="G102" s="4"/>
      <c r="H102" s="17"/>
    </row>
    <row r="103" spans="1:8" s="2" customFormat="1" ht="14.25" hidden="1" customHeight="1" x14ac:dyDescent="0.25">
      <c r="A103" s="211"/>
      <c r="B103" s="879"/>
      <c r="C103" s="6"/>
      <c r="D103" s="83" t="s">
        <v>141</v>
      </c>
      <c r="E103" s="30"/>
      <c r="F103" s="37"/>
      <c r="G103" s="4"/>
      <c r="H103" s="17"/>
    </row>
    <row r="104" spans="1:8" s="2" customFormat="1" ht="24" hidden="1" customHeight="1" x14ac:dyDescent="0.25">
      <c r="A104" s="211"/>
      <c r="B104" s="879"/>
      <c r="C104" s="6"/>
      <c r="D104" s="70" t="s">
        <v>98</v>
      </c>
      <c r="E104" s="70">
        <f>SUM(E105:E112)</f>
        <v>0</v>
      </c>
      <c r="F104" s="84">
        <f>SUM(F105:F112)</f>
        <v>0</v>
      </c>
      <c r="G104" s="70">
        <f>SUM(G105:G112)</f>
        <v>0</v>
      </c>
      <c r="H104" s="71">
        <f>SUM(H105:H112)</f>
        <v>0</v>
      </c>
    </row>
    <row r="105" spans="1:8" s="2" customFormat="1" ht="14.25" hidden="1" customHeight="1" x14ac:dyDescent="0.25">
      <c r="A105" s="211"/>
      <c r="B105" s="879"/>
      <c r="C105" s="6"/>
      <c r="D105" s="83" t="s">
        <v>142</v>
      </c>
      <c r="E105" s="30"/>
      <c r="F105" s="37"/>
      <c r="G105" s="4"/>
      <c r="H105" s="17"/>
    </row>
    <row r="106" spans="1:8" s="2" customFormat="1" ht="14.25" hidden="1" customHeight="1" x14ac:dyDescent="0.25">
      <c r="A106" s="211"/>
      <c r="B106" s="879"/>
      <c r="C106" s="6"/>
      <c r="D106" s="83" t="s">
        <v>143</v>
      </c>
      <c r="E106" s="30"/>
      <c r="F106" s="37"/>
      <c r="G106" s="4"/>
      <c r="H106" s="17"/>
    </row>
    <row r="107" spans="1:8" s="2" customFormat="1" ht="14.25" hidden="1" customHeight="1" x14ac:dyDescent="0.25">
      <c r="A107" s="211"/>
      <c r="B107" s="879"/>
      <c r="C107" s="6"/>
      <c r="D107" s="83" t="s">
        <v>144</v>
      </c>
      <c r="E107" s="30"/>
      <c r="F107" s="37"/>
      <c r="G107" s="4"/>
      <c r="H107" s="17"/>
    </row>
    <row r="108" spans="1:8" s="2" customFormat="1" ht="14.25" hidden="1" customHeight="1" x14ac:dyDescent="0.25">
      <c r="A108" s="211"/>
      <c r="B108" s="879"/>
      <c r="C108" s="6"/>
      <c r="D108" s="83" t="s">
        <v>145</v>
      </c>
      <c r="E108" s="30"/>
      <c r="F108" s="37"/>
      <c r="G108" s="4"/>
      <c r="H108" s="17"/>
    </row>
    <row r="109" spans="1:8" s="2" customFormat="1" ht="14.25" hidden="1" customHeight="1" x14ac:dyDescent="0.25">
      <c r="A109" s="211"/>
      <c r="B109" s="879"/>
      <c r="C109" s="6"/>
      <c r="D109" s="83" t="s">
        <v>146</v>
      </c>
      <c r="E109" s="30"/>
      <c r="F109" s="37"/>
      <c r="G109" s="4"/>
      <c r="H109" s="17"/>
    </row>
    <row r="110" spans="1:8" s="2" customFormat="1" ht="14.25" hidden="1" customHeight="1" x14ac:dyDescent="0.25">
      <c r="A110" s="211"/>
      <c r="B110" s="879"/>
      <c r="C110" s="6"/>
      <c r="D110" s="83" t="s">
        <v>147</v>
      </c>
      <c r="E110" s="30"/>
      <c r="F110" s="37"/>
      <c r="G110" s="4"/>
      <c r="H110" s="17"/>
    </row>
    <row r="111" spans="1:8" s="2" customFormat="1" ht="14.25" hidden="1" customHeight="1" x14ac:dyDescent="0.25">
      <c r="A111" s="211"/>
      <c r="B111" s="879"/>
      <c r="C111" s="6"/>
      <c r="D111" s="83" t="s">
        <v>148</v>
      </c>
      <c r="E111" s="30"/>
      <c r="F111" s="37"/>
      <c r="G111" s="4"/>
      <c r="H111" s="17"/>
    </row>
    <row r="112" spans="1:8" s="2" customFormat="1" ht="14.25" hidden="1" customHeight="1" x14ac:dyDescent="0.25">
      <c r="A112" s="211"/>
      <c r="B112" s="879"/>
      <c r="C112" s="6"/>
      <c r="D112" s="83" t="s">
        <v>149</v>
      </c>
      <c r="E112" s="30"/>
      <c r="F112" s="37"/>
      <c r="G112" s="4"/>
      <c r="H112" s="17"/>
    </row>
    <row r="113" spans="1:8" s="8" customFormat="1" ht="5.25" customHeight="1" x14ac:dyDescent="0.25">
      <c r="A113" s="60"/>
      <c r="B113" s="60"/>
      <c r="C113" s="60"/>
      <c r="D113" s="60"/>
      <c r="E113" s="60"/>
      <c r="F113" s="96"/>
      <c r="G113" s="60"/>
      <c r="H113" s="60"/>
    </row>
    <row r="114" spans="1:8" s="9" customFormat="1" ht="24.75" customHeight="1" x14ac:dyDescent="0.25">
      <c r="A114" s="869" t="s">
        <v>67</v>
      </c>
      <c r="B114" s="831" t="s">
        <v>68</v>
      </c>
      <c r="C114" s="869" t="s">
        <v>65</v>
      </c>
      <c r="D114" s="224" t="s">
        <v>80</v>
      </c>
      <c r="E114" s="224">
        <f>SUM(E115:E116)</f>
        <v>850</v>
      </c>
      <c r="F114" s="231">
        <f>SUM(F115:F116)</f>
        <v>212500</v>
      </c>
      <c r="G114" s="224">
        <f>SUM(G115:G116)</f>
        <v>0</v>
      </c>
      <c r="H114" s="232">
        <f>SUM(H115:H116)</f>
        <v>0</v>
      </c>
    </row>
    <row r="115" spans="1:8" s="1" customFormat="1" x14ac:dyDescent="0.25">
      <c r="A115" s="870"/>
      <c r="B115" s="832"/>
      <c r="C115" s="870"/>
      <c r="D115" s="83" t="s">
        <v>131</v>
      </c>
      <c r="E115" s="30">
        <f>450</f>
        <v>450</v>
      </c>
      <c r="F115" s="37">
        <f>112500</f>
        <v>112500</v>
      </c>
      <c r="G115" s="4"/>
      <c r="H115" s="17"/>
    </row>
    <row r="116" spans="1:8" s="1" customFormat="1" ht="75.75" customHeight="1" x14ac:dyDescent="0.25">
      <c r="A116" s="873"/>
      <c r="B116" s="833"/>
      <c r="C116" s="873"/>
      <c r="D116" s="195" t="s">
        <v>132</v>
      </c>
      <c r="E116" s="233">
        <f>400</f>
        <v>400</v>
      </c>
      <c r="F116" s="234">
        <f>100000</f>
        <v>100000</v>
      </c>
      <c r="G116" s="196"/>
      <c r="H116" s="197"/>
    </row>
    <row r="117" spans="1:8" x14ac:dyDescent="0.25">
      <c r="A117" t="s">
        <v>26</v>
      </c>
      <c r="B117" t="s">
        <v>28</v>
      </c>
      <c r="D117" t="s">
        <v>31</v>
      </c>
      <c r="F117"/>
    </row>
    <row r="118" spans="1:8" x14ac:dyDescent="0.25">
      <c r="F118"/>
    </row>
    <row r="119" spans="1:8" x14ac:dyDescent="0.25">
      <c r="A119" t="s">
        <v>27</v>
      </c>
      <c r="B119" t="s">
        <v>29</v>
      </c>
      <c r="D119" t="s">
        <v>32</v>
      </c>
      <c r="F119"/>
    </row>
    <row r="120" spans="1:8" x14ac:dyDescent="0.25">
      <c r="A120" t="s">
        <v>223</v>
      </c>
      <c r="B120" t="s">
        <v>30</v>
      </c>
      <c r="D120" t="s">
        <v>33</v>
      </c>
      <c r="F120"/>
    </row>
  </sheetData>
  <mergeCells count="34">
    <mergeCell ref="A69:A74"/>
    <mergeCell ref="A114:A116"/>
    <mergeCell ref="B114:B116"/>
    <mergeCell ref="C114:C116"/>
    <mergeCell ref="B27:B35"/>
    <mergeCell ref="B59:B67"/>
    <mergeCell ref="A27:A35"/>
    <mergeCell ref="C27:C35"/>
    <mergeCell ref="A49:A57"/>
    <mergeCell ref="C49:C57"/>
    <mergeCell ref="B49:B57"/>
    <mergeCell ref="B76:B112"/>
    <mergeCell ref="A78:A79"/>
    <mergeCell ref="A59:A67"/>
    <mergeCell ref="C59:C67"/>
    <mergeCell ref="C69:C74"/>
    <mergeCell ref="B69:B74"/>
    <mergeCell ref="G7:H7"/>
    <mergeCell ref="B11:B19"/>
    <mergeCell ref="B21:B25"/>
    <mergeCell ref="C21:C25"/>
    <mergeCell ref="A21:A25"/>
    <mergeCell ref="A11:A19"/>
    <mergeCell ref="A1:H1"/>
    <mergeCell ref="A2:H2"/>
    <mergeCell ref="A4:H4"/>
    <mergeCell ref="A5:H5"/>
    <mergeCell ref="A7:A8"/>
    <mergeCell ref="B7:B8"/>
    <mergeCell ref="C7:C8"/>
    <mergeCell ref="D7:D8"/>
    <mergeCell ref="E7:E8"/>
    <mergeCell ref="F7:F8"/>
    <mergeCell ref="C11:C19"/>
  </mergeCells>
  <printOptions horizontalCentered="1"/>
  <pageMargins left="0.28999999999999998" right="0.56999999999999995" top="0.68" bottom="0.69" header="0.3" footer="0.4"/>
  <pageSetup paperSize="9" scale="80" orientation="landscape" verticalDpi="300" r:id="rId1"/>
  <headerFooter>
    <oddFooter>&amp;L2nd District of Nueva Ecija&amp;CPage &amp;P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264</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80</v>
      </c>
      <c r="D8" s="224">
        <f>SUM(D9:D12)</f>
        <v>19</v>
      </c>
      <c r="E8" s="84">
        <f>SUM(E9:E12)</f>
        <v>15729682.560000001</v>
      </c>
    </row>
    <row r="9" spans="1:5" s="3" customFormat="1" ht="21.75" customHeight="1" x14ac:dyDescent="0.25">
      <c r="A9" s="870"/>
      <c r="B9" s="1066"/>
      <c r="C9" s="259" t="s">
        <v>127</v>
      </c>
      <c r="D9" s="260">
        <v>12</v>
      </c>
      <c r="E9" s="261">
        <v>3017500</v>
      </c>
    </row>
    <row r="10" spans="1:5" s="3" customFormat="1" ht="21.75" customHeight="1" x14ac:dyDescent="0.25">
      <c r="A10" s="870"/>
      <c r="B10" s="1066"/>
      <c r="C10" s="259" t="s">
        <v>265</v>
      </c>
      <c r="D10" s="260">
        <v>1</v>
      </c>
      <c r="E10" s="261">
        <v>695652.16</v>
      </c>
    </row>
    <row r="11" spans="1:5" s="3" customFormat="1" ht="21.75" customHeight="1" x14ac:dyDescent="0.25">
      <c r="A11" s="870"/>
      <c r="B11" s="1066"/>
      <c r="C11" s="259" t="s">
        <v>266</v>
      </c>
      <c r="D11" s="260">
        <v>3</v>
      </c>
      <c r="E11" s="261">
        <v>4946892</v>
      </c>
    </row>
    <row r="12" spans="1:5" s="2" customFormat="1" ht="71.25" customHeight="1" x14ac:dyDescent="0.25">
      <c r="A12" s="873"/>
      <c r="B12" s="1065"/>
      <c r="C12" s="196" t="s">
        <v>133</v>
      </c>
      <c r="D12" s="233">
        <v>3</v>
      </c>
      <c r="E12" s="234">
        <v>7069638.4000000004</v>
      </c>
    </row>
    <row r="13" spans="1:5" ht="21" customHeight="1" x14ac:dyDescent="0.25">
      <c r="A13" s="52"/>
      <c r="B13" s="258"/>
      <c r="C13" s="115"/>
      <c r="D13" s="251"/>
      <c r="E13" s="252"/>
    </row>
    <row r="14" spans="1:5" ht="15" customHeight="1" x14ac:dyDescent="0.25">
      <c r="A14" s="52"/>
      <c r="B14" s="258"/>
      <c r="C14" s="115"/>
      <c r="D14" s="251"/>
      <c r="E14" s="252"/>
    </row>
    <row r="15" spans="1:5" x14ac:dyDescent="0.25">
      <c r="A15" t="s">
        <v>27</v>
      </c>
      <c r="B15" t="s">
        <v>29</v>
      </c>
      <c r="D15" t="s">
        <v>32</v>
      </c>
    </row>
    <row r="16" spans="1:5" x14ac:dyDescent="0.25">
      <c r="A16" t="s">
        <v>223</v>
      </c>
      <c r="B16" t="s">
        <v>30</v>
      </c>
      <c r="D16" t="s">
        <v>33</v>
      </c>
    </row>
  </sheetData>
  <mergeCells count="10">
    <mergeCell ref="A8:A12"/>
    <mergeCell ref="B8:B12"/>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topLeftCell="A141" workbookViewId="0">
      <selection activeCell="A6" sqref="A6:F12"/>
    </sheetView>
  </sheetViews>
  <sheetFormatPr defaultRowHeight="15" x14ac:dyDescent="0.25"/>
  <cols>
    <col min="1" max="1" width="30.85546875" customWidth="1"/>
    <col min="2" max="2" width="42" customWidth="1"/>
    <col min="3" max="3" width="15.85546875" customWidth="1"/>
    <col min="4" max="4" width="20.28515625" customWidth="1"/>
    <col min="5" max="5" width="10.85546875" customWidth="1"/>
    <col min="6" max="6" width="19.7109375" style="97" customWidth="1"/>
    <col min="7" max="7" width="13.140625" customWidth="1"/>
    <col min="8" max="8" width="20.285156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233</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92">
        <f>F11+F20+F25+F57+F66+F75+F91+F147</f>
        <v>138977652.25999999</v>
      </c>
      <c r="G9" s="11"/>
      <c r="H9" s="92">
        <f>H11+H20+H25+H57+H66+H75+H91+H147</f>
        <v>284314440</v>
      </c>
    </row>
    <row r="10" spans="1:8" s="8" customFormat="1" ht="4.5" customHeight="1" x14ac:dyDescent="0.25">
      <c r="A10" s="7"/>
      <c r="B10" s="7"/>
      <c r="C10" s="7"/>
      <c r="D10" s="7"/>
      <c r="E10" s="7"/>
      <c r="F10" s="93"/>
      <c r="G10" s="7"/>
      <c r="H10" s="7"/>
    </row>
    <row r="11" spans="1:8" s="3" customFormat="1" ht="19.5" customHeight="1" x14ac:dyDescent="0.25">
      <c r="A11" s="869" t="s">
        <v>5</v>
      </c>
      <c r="B11" s="867" t="s">
        <v>50</v>
      </c>
      <c r="C11" s="871" t="s">
        <v>21</v>
      </c>
      <c r="D11" s="70" t="s">
        <v>97</v>
      </c>
      <c r="E11" s="70">
        <f>SUM(E12:E18)</f>
        <v>17852</v>
      </c>
      <c r="F11" s="84">
        <f>SUM(F12:F18)</f>
        <v>115796200</v>
      </c>
      <c r="G11" s="70">
        <f>SUM(G12:G18)</f>
        <v>16551</v>
      </c>
      <c r="H11" s="71">
        <f>SUM(H12:H18)</f>
        <v>248265000</v>
      </c>
    </row>
    <row r="12" spans="1:8" s="9" customFormat="1" ht="21" customHeight="1" x14ac:dyDescent="0.25">
      <c r="A12" s="870"/>
      <c r="B12" s="868"/>
      <c r="C12" s="872"/>
      <c r="D12" s="83" t="s">
        <v>135</v>
      </c>
      <c r="E12" s="30">
        <v>2746</v>
      </c>
      <c r="F12" s="37">
        <v>17831500</v>
      </c>
      <c r="G12" s="4">
        <v>2841</v>
      </c>
      <c r="H12" s="17">
        <v>42615000</v>
      </c>
    </row>
    <row r="13" spans="1:8" s="16" customFormat="1" ht="15" customHeight="1" x14ac:dyDescent="0.25">
      <c r="A13" s="870"/>
      <c r="B13" s="868"/>
      <c r="C13" s="872"/>
      <c r="D13" s="83" t="s">
        <v>136</v>
      </c>
      <c r="E13" s="30">
        <v>6335</v>
      </c>
      <c r="F13" s="37">
        <v>41339400</v>
      </c>
      <c r="G13" s="4">
        <v>6548</v>
      </c>
      <c r="H13" s="17">
        <v>98220000</v>
      </c>
    </row>
    <row r="14" spans="1:8" s="1" customFormat="1" x14ac:dyDescent="0.25">
      <c r="A14" s="870"/>
      <c r="B14" s="868"/>
      <c r="C14" s="872"/>
      <c r="D14" s="83" t="s">
        <v>137</v>
      </c>
      <c r="E14" s="30">
        <v>1949</v>
      </c>
      <c r="F14" s="37">
        <v>12662800</v>
      </c>
      <c r="G14" s="4">
        <v>88</v>
      </c>
      <c r="H14" s="17">
        <v>1320000</v>
      </c>
    </row>
    <row r="15" spans="1:8" s="1" customFormat="1" x14ac:dyDescent="0.25">
      <c r="A15" s="870"/>
      <c r="B15" s="868"/>
      <c r="C15" s="872"/>
      <c r="D15" s="83" t="s">
        <v>138</v>
      </c>
      <c r="E15" s="30">
        <v>1714</v>
      </c>
      <c r="F15" s="37">
        <v>10762700</v>
      </c>
      <c r="G15" s="4">
        <v>1819</v>
      </c>
      <c r="H15" s="17">
        <v>27285000</v>
      </c>
    </row>
    <row r="16" spans="1:8" s="1" customFormat="1" x14ac:dyDescent="0.25">
      <c r="A16" s="870"/>
      <c r="B16" s="868"/>
      <c r="C16" s="872"/>
      <c r="D16" s="83" t="s">
        <v>139</v>
      </c>
      <c r="E16" s="30">
        <v>2187</v>
      </c>
      <c r="F16" s="37">
        <v>15471600</v>
      </c>
      <c r="G16" s="4">
        <v>2229</v>
      </c>
      <c r="H16" s="17">
        <v>33435000</v>
      </c>
    </row>
    <row r="17" spans="1:8" s="1" customFormat="1" x14ac:dyDescent="0.25">
      <c r="A17" s="870"/>
      <c r="B17" s="868"/>
      <c r="C17" s="872"/>
      <c r="D17" s="83" t="s">
        <v>140</v>
      </c>
      <c r="E17" s="30">
        <v>1298</v>
      </c>
      <c r="F17" s="37">
        <v>8678800</v>
      </c>
      <c r="G17" s="4">
        <v>1334</v>
      </c>
      <c r="H17" s="17">
        <v>20010000</v>
      </c>
    </row>
    <row r="18" spans="1:8" s="1" customFormat="1" x14ac:dyDescent="0.25">
      <c r="A18" s="873"/>
      <c r="B18" s="874"/>
      <c r="C18" s="875"/>
      <c r="D18" s="83" t="s">
        <v>141</v>
      </c>
      <c r="E18" s="30">
        <v>1623</v>
      </c>
      <c r="F18" s="37">
        <v>9049400</v>
      </c>
      <c r="G18" s="4">
        <v>1692</v>
      </c>
      <c r="H18" s="17">
        <v>25380000</v>
      </c>
    </row>
    <row r="19" spans="1:8" s="8" customFormat="1" ht="4.5" customHeight="1" x14ac:dyDescent="0.25">
      <c r="A19" s="7"/>
      <c r="B19" s="7"/>
      <c r="C19" s="7"/>
      <c r="D19" s="7"/>
      <c r="E19" s="7"/>
      <c r="F19" s="93"/>
      <c r="G19" s="7"/>
      <c r="H19" s="7"/>
    </row>
    <row r="20" spans="1:8" s="9" customFormat="1" ht="18" customHeight="1" x14ac:dyDescent="0.25">
      <c r="A20" s="869" t="s">
        <v>61</v>
      </c>
      <c r="B20" s="867" t="s">
        <v>62</v>
      </c>
      <c r="C20" s="871" t="s">
        <v>21</v>
      </c>
      <c r="D20" s="70" t="s">
        <v>97</v>
      </c>
      <c r="E20" s="70">
        <f>SUM(E21:E23)</f>
        <v>612</v>
      </c>
      <c r="F20" s="84">
        <f>SUM(F21:F23)</f>
        <v>2656300</v>
      </c>
      <c r="G20" s="70">
        <f>SUM(G21:G23)</f>
        <v>0</v>
      </c>
      <c r="H20" s="71">
        <f>SUM(H21:H23)</f>
        <v>0</v>
      </c>
    </row>
    <row r="21" spans="1:8" s="9" customFormat="1" ht="21.75" customHeight="1" x14ac:dyDescent="0.25">
      <c r="A21" s="870"/>
      <c r="B21" s="868"/>
      <c r="C21" s="872"/>
      <c r="D21" s="83" t="s">
        <v>135</v>
      </c>
      <c r="E21" s="30">
        <v>40</v>
      </c>
      <c r="F21" s="37">
        <v>110200</v>
      </c>
      <c r="G21" s="4"/>
      <c r="H21" s="17"/>
    </row>
    <row r="22" spans="1:8" s="16" customFormat="1" ht="15" customHeight="1" x14ac:dyDescent="0.25">
      <c r="A22" s="870"/>
      <c r="B22" s="868"/>
      <c r="C22" s="872"/>
      <c r="D22" s="83" t="s">
        <v>136</v>
      </c>
      <c r="E22" s="30">
        <v>562</v>
      </c>
      <c r="F22" s="37">
        <v>2500500</v>
      </c>
      <c r="G22" s="4"/>
      <c r="H22" s="17"/>
    </row>
    <row r="23" spans="1:8" s="1" customFormat="1" ht="46.5" customHeight="1" x14ac:dyDescent="0.25">
      <c r="A23" s="870"/>
      <c r="B23" s="868"/>
      <c r="C23" s="872"/>
      <c r="D23" s="195" t="s">
        <v>138</v>
      </c>
      <c r="E23" s="233">
        <v>10</v>
      </c>
      <c r="F23" s="234">
        <v>45600</v>
      </c>
      <c r="G23" s="196"/>
      <c r="H23" s="197"/>
    </row>
    <row r="24" spans="1:8" s="8" customFormat="1" ht="4.5" customHeight="1" x14ac:dyDescent="0.25">
      <c r="A24" s="7"/>
      <c r="B24" s="7"/>
      <c r="C24" s="7"/>
      <c r="D24" s="7"/>
      <c r="E24" s="7"/>
      <c r="F24" s="93"/>
      <c r="G24" s="7"/>
      <c r="H24" s="7"/>
    </row>
    <row r="25" spans="1:8" s="9" customFormat="1" ht="27" customHeight="1" x14ac:dyDescent="0.25">
      <c r="A25" s="869" t="s">
        <v>7</v>
      </c>
      <c r="B25" s="867" t="s">
        <v>52</v>
      </c>
      <c r="C25" s="871" t="s">
        <v>53</v>
      </c>
      <c r="D25" s="224" t="s">
        <v>97</v>
      </c>
      <c r="E25" s="224">
        <f>SUM(E26:E32)</f>
        <v>605</v>
      </c>
      <c r="F25" s="231">
        <f>SUM(F26:F32)</f>
        <v>3630000</v>
      </c>
      <c r="G25" s="224">
        <f>SUM(G26:G32)</f>
        <v>380</v>
      </c>
      <c r="H25" s="232">
        <f>SUM(H26:H32)</f>
        <v>2700000</v>
      </c>
    </row>
    <row r="26" spans="1:8" s="9" customFormat="1" ht="30" customHeight="1" x14ac:dyDescent="0.25">
      <c r="A26" s="870"/>
      <c r="B26" s="868"/>
      <c r="C26" s="872"/>
      <c r="D26" s="83" t="s">
        <v>135</v>
      </c>
      <c r="E26" s="30"/>
      <c r="F26" s="37"/>
      <c r="G26" s="4">
        <v>30</v>
      </c>
      <c r="H26" s="17">
        <v>300000</v>
      </c>
    </row>
    <row r="27" spans="1:8" s="16" customFormat="1" ht="15" customHeight="1" x14ac:dyDescent="0.25">
      <c r="A27" s="870"/>
      <c r="B27" s="868"/>
      <c r="C27" s="872"/>
      <c r="D27" s="83" t="s">
        <v>136</v>
      </c>
      <c r="E27" s="30">
        <f>115</f>
        <v>115</v>
      </c>
      <c r="F27" s="37">
        <f>869000</f>
        <v>869000</v>
      </c>
      <c r="G27" s="4">
        <v>30</v>
      </c>
      <c r="H27" s="17">
        <v>300000</v>
      </c>
    </row>
    <row r="28" spans="1:8" s="1" customFormat="1" x14ac:dyDescent="0.25">
      <c r="A28" s="870"/>
      <c r="B28" s="868"/>
      <c r="C28" s="872"/>
      <c r="D28" s="83" t="s">
        <v>137</v>
      </c>
      <c r="E28" s="30">
        <f>190+240</f>
        <v>430</v>
      </c>
      <c r="F28" s="37">
        <f>1010000+1275000</f>
        <v>2285000</v>
      </c>
      <c r="G28" s="4">
        <v>150</v>
      </c>
      <c r="H28" s="17">
        <v>750000</v>
      </c>
    </row>
    <row r="29" spans="1:8" s="1" customFormat="1" x14ac:dyDescent="0.25">
      <c r="A29" s="870"/>
      <c r="B29" s="868"/>
      <c r="C29" s="872"/>
      <c r="D29" s="83" t="s">
        <v>138</v>
      </c>
      <c r="E29" s="30"/>
      <c r="F29" s="37"/>
      <c r="G29" s="4">
        <v>30</v>
      </c>
      <c r="H29" s="17">
        <v>300000</v>
      </c>
    </row>
    <row r="30" spans="1:8" s="1" customFormat="1" x14ac:dyDescent="0.25">
      <c r="A30" s="870"/>
      <c r="B30" s="868"/>
      <c r="C30" s="872"/>
      <c r="D30" s="83" t="s">
        <v>139</v>
      </c>
      <c r="E30" s="30">
        <f>60</f>
        <v>60</v>
      </c>
      <c r="F30" s="37">
        <f>476000</f>
        <v>476000</v>
      </c>
      <c r="G30" s="4">
        <v>90</v>
      </c>
      <c r="H30" s="17">
        <v>450000</v>
      </c>
    </row>
    <row r="31" spans="1:8" s="1" customFormat="1" x14ac:dyDescent="0.25">
      <c r="A31" s="870"/>
      <c r="B31" s="868"/>
      <c r="C31" s="872"/>
      <c r="D31" s="83" t="s">
        <v>140</v>
      </c>
      <c r="E31" s="30"/>
      <c r="F31" s="37"/>
      <c r="G31" s="4">
        <v>30</v>
      </c>
      <c r="H31" s="17">
        <v>300000</v>
      </c>
    </row>
    <row r="32" spans="1:8" s="1" customFormat="1" x14ac:dyDescent="0.25">
      <c r="A32" s="873"/>
      <c r="B32" s="874"/>
      <c r="C32" s="875"/>
      <c r="D32" s="83" t="s">
        <v>141</v>
      </c>
      <c r="E32" s="30"/>
      <c r="F32" s="37"/>
      <c r="G32" s="4">
        <v>20</v>
      </c>
      <c r="H32" s="17">
        <v>300000</v>
      </c>
    </row>
    <row r="33" spans="6:6" s="123" customFormat="1" ht="4.5" customHeight="1" x14ac:dyDescent="0.25">
      <c r="F33" s="174"/>
    </row>
    <row r="34" spans="6:6" s="123" customFormat="1" ht="4.5" customHeight="1" x14ac:dyDescent="0.25">
      <c r="F34" s="174"/>
    </row>
    <row r="35" spans="6:6" s="123" customFormat="1" ht="4.5" customHeight="1" x14ac:dyDescent="0.25">
      <c r="F35" s="174"/>
    </row>
    <row r="36" spans="6:6" s="123" customFormat="1" ht="4.5" customHeight="1" x14ac:dyDescent="0.25">
      <c r="F36" s="174"/>
    </row>
    <row r="37" spans="6:6" s="123" customFormat="1" ht="4.5" customHeight="1" x14ac:dyDescent="0.25">
      <c r="F37" s="174"/>
    </row>
    <row r="38" spans="6:6" s="123" customFormat="1" ht="4.5" customHeight="1" x14ac:dyDescent="0.25">
      <c r="F38" s="174"/>
    </row>
    <row r="39" spans="6:6" s="123" customFormat="1" ht="4.5" customHeight="1" x14ac:dyDescent="0.25">
      <c r="F39" s="174"/>
    </row>
    <row r="40" spans="6:6" s="123" customFormat="1" ht="4.5" customHeight="1" x14ac:dyDescent="0.25">
      <c r="F40" s="174"/>
    </row>
    <row r="41" spans="6:6" s="123" customFormat="1" ht="4.5" customHeight="1" x14ac:dyDescent="0.25">
      <c r="F41" s="174"/>
    </row>
    <row r="42" spans="6:6" s="123" customFormat="1" ht="4.5" customHeight="1" x14ac:dyDescent="0.25">
      <c r="F42" s="174"/>
    </row>
    <row r="43" spans="6:6" s="123" customFormat="1" ht="4.5" customHeight="1" x14ac:dyDescent="0.25">
      <c r="F43" s="174"/>
    </row>
    <row r="44" spans="6:6" s="123" customFormat="1" ht="4.5" customHeight="1" x14ac:dyDescent="0.25">
      <c r="F44" s="174"/>
    </row>
    <row r="45" spans="6:6" s="123" customFormat="1" ht="4.5" customHeight="1" x14ac:dyDescent="0.25">
      <c r="F45" s="174"/>
    </row>
    <row r="46" spans="6:6" s="123" customFormat="1" ht="4.5" customHeight="1" x14ac:dyDescent="0.25">
      <c r="F46" s="174"/>
    </row>
    <row r="47" spans="6:6" s="123" customFormat="1" ht="4.5" customHeight="1" x14ac:dyDescent="0.25">
      <c r="F47" s="174"/>
    </row>
    <row r="48" spans="6:6" s="123" customFormat="1" ht="4.5" customHeight="1" x14ac:dyDescent="0.25">
      <c r="F48" s="174"/>
    </row>
    <row r="49" spans="1:8" s="123" customFormat="1" ht="4.5" customHeight="1" x14ac:dyDescent="0.25">
      <c r="F49" s="174"/>
    </row>
    <row r="50" spans="1:8" s="123" customFormat="1" ht="4.5" customHeight="1" x14ac:dyDescent="0.25">
      <c r="F50" s="174"/>
    </row>
    <row r="51" spans="1:8" s="123" customFormat="1" ht="4.5" customHeight="1" x14ac:dyDescent="0.25">
      <c r="F51" s="174"/>
    </row>
    <row r="52" spans="1:8" s="123" customFormat="1" ht="4.5" customHeight="1" x14ac:dyDescent="0.25">
      <c r="F52" s="174"/>
    </row>
    <row r="53" spans="1:8" s="123" customFormat="1" ht="4.5" customHeight="1" x14ac:dyDescent="0.25">
      <c r="F53" s="174"/>
    </row>
    <row r="54" spans="1:8" s="123" customFormat="1" ht="4.5" customHeight="1" x14ac:dyDescent="0.25">
      <c r="F54" s="174"/>
    </row>
    <row r="55" spans="1:8" s="123" customFormat="1" ht="4.5" customHeight="1" x14ac:dyDescent="0.25">
      <c r="F55" s="174"/>
    </row>
    <row r="56" spans="1:8" s="123" customFormat="1" ht="4.5" customHeight="1" x14ac:dyDescent="0.25">
      <c r="F56" s="174"/>
    </row>
    <row r="57" spans="1:8" s="9" customFormat="1" ht="20.25" customHeight="1" x14ac:dyDescent="0.25">
      <c r="A57" s="869" t="s">
        <v>6</v>
      </c>
      <c r="B57" s="867" t="s">
        <v>54</v>
      </c>
      <c r="C57" s="869" t="s">
        <v>20</v>
      </c>
      <c r="D57" s="70" t="s">
        <v>97</v>
      </c>
      <c r="E57" s="70">
        <f>SUM(E58:E64)</f>
        <v>8851</v>
      </c>
      <c r="F57" s="84">
        <f>SUM(F58:F64)</f>
        <v>9705540</v>
      </c>
      <c r="G57" s="70">
        <f>SUM(G58:G64)</f>
        <v>13724</v>
      </c>
      <c r="H57" s="71">
        <f>SUM(H58:H64)</f>
        <v>21409440</v>
      </c>
    </row>
    <row r="58" spans="1:8" s="9" customFormat="1" ht="18.75" customHeight="1" x14ac:dyDescent="0.25">
      <c r="A58" s="870"/>
      <c r="B58" s="868"/>
      <c r="C58" s="870"/>
      <c r="D58" s="83" t="s">
        <v>135</v>
      </c>
      <c r="E58" s="30">
        <v>1911</v>
      </c>
      <c r="F58" s="37">
        <v>3004060</v>
      </c>
      <c r="G58" s="4">
        <v>2393</v>
      </c>
      <c r="H58" s="17">
        <v>3733080</v>
      </c>
    </row>
    <row r="59" spans="1:8" s="16" customFormat="1" ht="15" customHeight="1" x14ac:dyDescent="0.25">
      <c r="A59" s="870"/>
      <c r="B59" s="868"/>
      <c r="C59" s="870"/>
      <c r="D59" s="83" t="s">
        <v>136</v>
      </c>
      <c r="E59" s="30">
        <v>1627</v>
      </c>
      <c r="F59" s="37" t="s">
        <v>206</v>
      </c>
      <c r="G59" s="4">
        <v>4846</v>
      </c>
      <c r="H59" s="17">
        <v>7559760</v>
      </c>
    </row>
    <row r="60" spans="1:8" s="1" customFormat="1" x14ac:dyDescent="0.25">
      <c r="A60" s="870"/>
      <c r="B60" s="868"/>
      <c r="C60" s="870"/>
      <c r="D60" s="83" t="s">
        <v>137</v>
      </c>
      <c r="E60" s="30">
        <v>734</v>
      </c>
      <c r="F60" s="37">
        <v>1153840</v>
      </c>
      <c r="G60" s="4">
        <v>900</v>
      </c>
      <c r="H60" s="17">
        <v>1404000</v>
      </c>
    </row>
    <row r="61" spans="1:8" s="1" customFormat="1" x14ac:dyDescent="0.25">
      <c r="A61" s="870"/>
      <c r="B61" s="868"/>
      <c r="C61" s="870"/>
      <c r="D61" s="83" t="s">
        <v>138</v>
      </c>
      <c r="E61" s="30">
        <v>765</v>
      </c>
      <c r="F61" s="37">
        <v>1202600</v>
      </c>
      <c r="G61" s="4">
        <v>918</v>
      </c>
      <c r="H61" s="17">
        <v>1432080</v>
      </c>
    </row>
    <row r="62" spans="1:8" s="1" customFormat="1" x14ac:dyDescent="0.25">
      <c r="A62" s="870"/>
      <c r="B62" s="868"/>
      <c r="C62" s="870"/>
      <c r="D62" s="83" t="s">
        <v>139</v>
      </c>
      <c r="E62" s="30">
        <v>1050</v>
      </c>
      <c r="F62" s="37" t="s">
        <v>206</v>
      </c>
      <c r="G62" s="4">
        <v>1260</v>
      </c>
      <c r="H62" s="17">
        <v>1965600</v>
      </c>
    </row>
    <row r="63" spans="1:8" s="1" customFormat="1" x14ac:dyDescent="0.25">
      <c r="A63" s="870"/>
      <c r="B63" s="868"/>
      <c r="C63" s="870"/>
      <c r="D63" s="83" t="s">
        <v>140</v>
      </c>
      <c r="E63" s="30">
        <v>1227</v>
      </c>
      <c r="F63" s="37">
        <v>1928870</v>
      </c>
      <c r="G63" s="4">
        <v>1562</v>
      </c>
      <c r="H63" s="17">
        <v>2436720</v>
      </c>
    </row>
    <row r="64" spans="1:8" s="1" customFormat="1" x14ac:dyDescent="0.25">
      <c r="A64" s="873"/>
      <c r="B64" s="874"/>
      <c r="C64" s="873"/>
      <c r="D64" s="83" t="s">
        <v>141</v>
      </c>
      <c r="E64" s="30">
        <v>1537</v>
      </c>
      <c r="F64" s="37">
        <v>2416170</v>
      </c>
      <c r="G64" s="4">
        <v>1845</v>
      </c>
      <c r="H64" s="17">
        <v>2878200</v>
      </c>
    </row>
    <row r="65" spans="1:8" s="8" customFormat="1" ht="3.75" customHeight="1" x14ac:dyDescent="0.25">
      <c r="A65" s="7"/>
      <c r="B65" s="7"/>
      <c r="C65" s="7"/>
      <c r="D65" s="7"/>
      <c r="E65" s="7"/>
      <c r="F65" s="93"/>
      <c r="G65" s="7"/>
      <c r="H65" s="7"/>
    </row>
    <row r="66" spans="1:8" s="9" customFormat="1" ht="24" customHeight="1" x14ac:dyDescent="0.25">
      <c r="A66" s="869" t="s">
        <v>16</v>
      </c>
      <c r="B66" s="869" t="s">
        <v>55</v>
      </c>
      <c r="C66" s="869" t="s">
        <v>19</v>
      </c>
      <c r="D66" s="70" t="s">
        <v>97</v>
      </c>
      <c r="E66" s="70">
        <f>SUM(E67:E73)</f>
        <v>900</v>
      </c>
      <c r="F66" s="84">
        <f>SUM(F67:F73)</f>
        <v>3892000</v>
      </c>
      <c r="G66" s="70">
        <f>SUM(G67:G73)</f>
        <v>1990</v>
      </c>
      <c r="H66" s="71">
        <f>SUM(H67:H73)</f>
        <v>11940000</v>
      </c>
    </row>
    <row r="67" spans="1:8" s="9" customFormat="1" ht="20.25" customHeight="1" x14ac:dyDescent="0.25">
      <c r="A67" s="870"/>
      <c r="B67" s="870"/>
      <c r="C67" s="870"/>
      <c r="D67" s="83" t="s">
        <v>135</v>
      </c>
      <c r="E67" s="30">
        <v>135</v>
      </c>
      <c r="F67" s="37">
        <v>599500</v>
      </c>
      <c r="G67" s="4">
        <v>305</v>
      </c>
      <c r="H67" s="17">
        <v>1830000</v>
      </c>
    </row>
    <row r="68" spans="1:8" s="16" customFormat="1" ht="15" customHeight="1" x14ac:dyDescent="0.25">
      <c r="A68" s="870"/>
      <c r="B68" s="870"/>
      <c r="C68" s="870"/>
      <c r="D68" s="83" t="s">
        <v>136</v>
      </c>
      <c r="E68" s="30">
        <v>243</v>
      </c>
      <c r="F68" s="37">
        <v>1035000</v>
      </c>
      <c r="G68" s="4">
        <v>383</v>
      </c>
      <c r="H68" s="17">
        <v>2298000</v>
      </c>
    </row>
    <row r="69" spans="1:8" s="1" customFormat="1" x14ac:dyDescent="0.25">
      <c r="A69" s="870"/>
      <c r="B69" s="870"/>
      <c r="C69" s="870"/>
      <c r="D69" s="83" t="s">
        <v>137</v>
      </c>
      <c r="E69" s="30">
        <v>135</v>
      </c>
      <c r="F69" s="37">
        <v>605500</v>
      </c>
      <c r="G69" s="4">
        <v>295</v>
      </c>
      <c r="H69" s="17">
        <v>1770000</v>
      </c>
    </row>
    <row r="70" spans="1:8" s="1" customFormat="1" x14ac:dyDescent="0.25">
      <c r="A70" s="870"/>
      <c r="B70" s="870"/>
      <c r="C70" s="870"/>
      <c r="D70" s="83" t="s">
        <v>138</v>
      </c>
      <c r="E70" s="30">
        <v>114</v>
      </c>
      <c r="F70" s="37">
        <v>484500</v>
      </c>
      <c r="G70" s="4">
        <v>259</v>
      </c>
      <c r="H70" s="17">
        <v>1554000</v>
      </c>
    </row>
    <row r="71" spans="1:8" s="1" customFormat="1" x14ac:dyDescent="0.25">
      <c r="A71" s="870"/>
      <c r="B71" s="870"/>
      <c r="C71" s="870"/>
      <c r="D71" s="83" t="s">
        <v>139</v>
      </c>
      <c r="E71" s="30">
        <v>100</v>
      </c>
      <c r="F71" s="37">
        <v>415000</v>
      </c>
      <c r="G71" s="4">
        <v>245</v>
      </c>
      <c r="H71" s="17">
        <v>1470000</v>
      </c>
    </row>
    <row r="72" spans="1:8" s="1" customFormat="1" x14ac:dyDescent="0.25">
      <c r="A72" s="870"/>
      <c r="B72" s="870"/>
      <c r="C72" s="870"/>
      <c r="D72" s="83" t="s">
        <v>140</v>
      </c>
      <c r="E72" s="30">
        <v>94</v>
      </c>
      <c r="F72" s="37">
        <v>413500</v>
      </c>
      <c r="G72" s="4">
        <v>254</v>
      </c>
      <c r="H72" s="17">
        <v>1524000</v>
      </c>
    </row>
    <row r="73" spans="1:8" s="1" customFormat="1" x14ac:dyDescent="0.25">
      <c r="A73" s="873"/>
      <c r="B73" s="873"/>
      <c r="C73" s="873"/>
      <c r="D73" s="83" t="s">
        <v>141</v>
      </c>
      <c r="E73" s="30">
        <v>79</v>
      </c>
      <c r="F73" s="37">
        <v>339000</v>
      </c>
      <c r="G73" s="4">
        <v>249</v>
      </c>
      <c r="H73" s="17">
        <v>1494000</v>
      </c>
    </row>
    <row r="74" spans="1:8" s="8" customFormat="1" ht="5.25" customHeight="1" x14ac:dyDescent="0.25">
      <c r="A74" s="7"/>
      <c r="B74" s="7"/>
      <c r="C74" s="7"/>
      <c r="D74" s="7"/>
      <c r="E74" s="7"/>
      <c r="F74" s="93"/>
      <c r="G74" s="7"/>
      <c r="H74" s="7"/>
    </row>
    <row r="75" spans="1:8" s="9" customFormat="1" ht="24" customHeight="1" x14ac:dyDescent="0.25">
      <c r="A75" s="869" t="s">
        <v>17</v>
      </c>
      <c r="B75" s="876" t="s">
        <v>56</v>
      </c>
      <c r="C75" s="869" t="s">
        <v>18</v>
      </c>
      <c r="D75" s="70" t="s">
        <v>97</v>
      </c>
      <c r="E75" s="70">
        <f>SUM(E76:E81)</f>
        <v>22</v>
      </c>
      <c r="F75" s="84">
        <f>SUM(F76:F81)</f>
        <v>30472</v>
      </c>
      <c r="G75" s="70">
        <f>SUM(G76:G81)</f>
        <v>0</v>
      </c>
      <c r="H75" s="71">
        <f>SUM(H76:H81)</f>
        <v>0</v>
      </c>
    </row>
    <row r="76" spans="1:8" s="9" customFormat="1" ht="30" customHeight="1" x14ac:dyDescent="0.25">
      <c r="A76" s="870"/>
      <c r="B76" s="877"/>
      <c r="C76" s="870"/>
      <c r="D76" s="83" t="s">
        <v>135</v>
      </c>
      <c r="E76" s="30">
        <f>1+1</f>
        <v>2</v>
      </c>
      <c r="F76" s="37">
        <f>700+2000</f>
        <v>2700</v>
      </c>
      <c r="G76" s="4"/>
      <c r="H76" s="17"/>
    </row>
    <row r="77" spans="1:8" s="16" customFormat="1" ht="15" customHeight="1" x14ac:dyDescent="0.25">
      <c r="A77" s="870"/>
      <c r="B77" s="877"/>
      <c r="C77" s="870"/>
      <c r="D77" s="83" t="s">
        <v>136</v>
      </c>
      <c r="E77" s="30">
        <f>2+1+5+1</f>
        <v>9</v>
      </c>
      <c r="F77" s="37">
        <f>2250+1500+7500+2372</f>
        <v>13622</v>
      </c>
      <c r="G77" s="4"/>
      <c r="H77" s="17"/>
    </row>
    <row r="78" spans="1:8" s="1" customFormat="1" x14ac:dyDescent="0.25">
      <c r="A78" s="870"/>
      <c r="B78" s="877"/>
      <c r="C78" s="870"/>
      <c r="D78" s="83" t="s">
        <v>137</v>
      </c>
      <c r="E78" s="30">
        <f>1</f>
        <v>1</v>
      </c>
      <c r="F78" s="37">
        <f>1000</f>
        <v>1000</v>
      </c>
      <c r="G78" s="4"/>
      <c r="H78" s="17"/>
    </row>
    <row r="79" spans="1:8" s="1" customFormat="1" x14ac:dyDescent="0.25">
      <c r="A79" s="870"/>
      <c r="B79" s="877"/>
      <c r="C79" s="870"/>
      <c r="D79" s="83" t="s">
        <v>139</v>
      </c>
      <c r="E79" s="30">
        <f>1</f>
        <v>1</v>
      </c>
      <c r="F79" s="37">
        <f>700</f>
        <v>700</v>
      </c>
      <c r="G79" s="4"/>
      <c r="H79" s="17"/>
    </row>
    <row r="80" spans="1:8" s="1" customFormat="1" x14ac:dyDescent="0.25">
      <c r="A80" s="870"/>
      <c r="B80" s="877"/>
      <c r="C80" s="870"/>
      <c r="D80" s="83" t="s">
        <v>140</v>
      </c>
      <c r="E80" s="30">
        <f>3+2+2+1</f>
        <v>8</v>
      </c>
      <c r="F80" s="37">
        <f>6000+1250+2200+1500</f>
        <v>10950</v>
      </c>
      <c r="G80" s="4"/>
      <c r="H80" s="17"/>
    </row>
    <row r="81" spans="1:9" s="1" customFormat="1" x14ac:dyDescent="0.25">
      <c r="A81" s="873"/>
      <c r="B81" s="878"/>
      <c r="C81" s="873"/>
      <c r="D81" s="83" t="s">
        <v>141</v>
      </c>
      <c r="E81" s="30">
        <f>1</f>
        <v>1</v>
      </c>
      <c r="F81" s="37">
        <f>1500</f>
        <v>1500</v>
      </c>
      <c r="G81" s="4"/>
      <c r="H81" s="17"/>
    </row>
    <row r="82" spans="1:9" s="8" customFormat="1" ht="5.25" customHeight="1" x14ac:dyDescent="0.25">
      <c r="A82" s="7"/>
      <c r="B82" s="7"/>
      <c r="C82" s="7"/>
      <c r="D82" s="7"/>
      <c r="E82" s="7"/>
      <c r="F82" s="93"/>
      <c r="G82" s="7"/>
      <c r="H82" s="7"/>
    </row>
    <row r="83" spans="1:9" s="9" customFormat="1" ht="34.5" hidden="1" customHeight="1" x14ac:dyDescent="0.25">
      <c r="A83" s="6" t="s">
        <v>22</v>
      </c>
      <c r="B83" s="831" t="s">
        <v>57</v>
      </c>
      <c r="C83" s="6" t="s">
        <v>37</v>
      </c>
      <c r="D83" s="6"/>
      <c r="E83" s="42">
        <f>SUM(E84:E89)</f>
        <v>227</v>
      </c>
      <c r="F83" s="94">
        <f>SUM(F84:F89)</f>
        <v>562960</v>
      </c>
      <c r="G83" s="6"/>
      <c r="H83" s="6"/>
    </row>
    <row r="84" spans="1:9" s="1" customFormat="1" ht="15" hidden="1" customHeight="1" x14ac:dyDescent="0.25">
      <c r="A84" s="972" t="s">
        <v>35</v>
      </c>
      <c r="B84" s="832"/>
      <c r="C84" s="5"/>
      <c r="D84" s="4" t="s">
        <v>42</v>
      </c>
      <c r="E84" s="44"/>
      <c r="F84" s="41"/>
      <c r="G84" s="5"/>
      <c r="H84" s="4" t="s">
        <v>8</v>
      </c>
    </row>
    <row r="85" spans="1:9" s="1" customFormat="1" ht="15" hidden="1" customHeight="1" x14ac:dyDescent="0.25">
      <c r="A85" s="918"/>
      <c r="B85" s="833"/>
      <c r="C85" s="5"/>
      <c r="D85" s="4" t="s">
        <v>43</v>
      </c>
      <c r="E85" s="44"/>
      <c r="F85" s="38"/>
      <c r="G85" s="5"/>
      <c r="H85" s="4" t="s">
        <v>9</v>
      </c>
    </row>
    <row r="86" spans="1:9" s="1" customFormat="1" ht="15" hidden="1" customHeight="1" x14ac:dyDescent="0.25">
      <c r="A86" s="918"/>
      <c r="B86" s="211"/>
      <c r="C86" s="5"/>
      <c r="D86" s="4" t="s">
        <v>44</v>
      </c>
      <c r="E86" s="45">
        <v>227</v>
      </c>
      <c r="F86" s="39">
        <v>562960</v>
      </c>
      <c r="G86" s="5"/>
      <c r="H86" s="4" t="s">
        <v>10</v>
      </c>
    </row>
    <row r="87" spans="1:9" s="1" customFormat="1" ht="15" hidden="1" customHeight="1" x14ac:dyDescent="0.25">
      <c r="A87" s="918"/>
      <c r="B87" s="211"/>
      <c r="C87" s="5"/>
      <c r="D87" s="4" t="s">
        <v>45</v>
      </c>
      <c r="E87" s="44"/>
      <c r="F87" s="39"/>
      <c r="G87" s="5"/>
      <c r="H87" s="4" t="s">
        <v>11</v>
      </c>
    </row>
    <row r="88" spans="1:9" s="1" customFormat="1" ht="15" hidden="1" customHeight="1" x14ac:dyDescent="0.25">
      <c r="A88" s="918"/>
      <c r="B88" s="211"/>
      <c r="C88" s="5"/>
      <c r="D88" s="4" t="s">
        <v>46</v>
      </c>
      <c r="E88" s="44"/>
      <c r="F88" s="39"/>
      <c r="G88" s="5"/>
      <c r="H88" s="4" t="s">
        <v>12</v>
      </c>
    </row>
    <row r="89" spans="1:9" s="1" customFormat="1" ht="15" hidden="1" customHeight="1" x14ac:dyDescent="0.25">
      <c r="A89" s="918"/>
      <c r="B89" s="211"/>
      <c r="C89" s="5"/>
      <c r="D89" s="4" t="s">
        <v>47</v>
      </c>
      <c r="E89" s="44"/>
      <c r="F89" s="40"/>
      <c r="G89" s="5"/>
      <c r="H89" s="4" t="s">
        <v>13</v>
      </c>
    </row>
    <row r="90" spans="1:9" s="8" customFormat="1" ht="8.25" hidden="1" customHeight="1" x14ac:dyDescent="0.25">
      <c r="A90" s="7"/>
      <c r="B90" s="7"/>
      <c r="C90" s="7"/>
      <c r="D90" s="7"/>
      <c r="E90" s="7"/>
      <c r="F90" s="93"/>
      <c r="G90" s="7"/>
      <c r="H90" s="7"/>
    </row>
    <row r="91" spans="1:9" s="9" customFormat="1" ht="24.75" customHeight="1" x14ac:dyDescent="0.25">
      <c r="A91" s="869" t="s">
        <v>23</v>
      </c>
      <c r="B91" s="867" t="s">
        <v>58</v>
      </c>
      <c r="C91" s="869" t="s">
        <v>24</v>
      </c>
      <c r="D91" s="70" t="s">
        <v>97</v>
      </c>
      <c r="E91" s="70">
        <f>SUM(E92:E95)</f>
        <v>7595</v>
      </c>
      <c r="F91" s="84">
        <f>SUM(F92:F95)</f>
        <v>1892400.76</v>
      </c>
      <c r="G91" s="70">
        <f>SUM(G92:G95)</f>
        <v>0</v>
      </c>
      <c r="H91" s="71">
        <f>SUM(H92:H95)</f>
        <v>0</v>
      </c>
      <c r="I91" s="66"/>
    </row>
    <row r="92" spans="1:9" s="9" customFormat="1" ht="23.25" customHeight="1" x14ac:dyDescent="0.25">
      <c r="A92" s="870"/>
      <c r="B92" s="868"/>
      <c r="C92" s="870"/>
      <c r="D92" s="83" t="s">
        <v>135</v>
      </c>
      <c r="E92" s="30">
        <v>400</v>
      </c>
      <c r="F92" s="37">
        <v>100000</v>
      </c>
      <c r="G92" s="4"/>
      <c r="H92" s="17"/>
      <c r="I92" s="66"/>
    </row>
    <row r="93" spans="1:9" s="9" customFormat="1" ht="20.25" customHeight="1" x14ac:dyDescent="0.25">
      <c r="A93" s="870"/>
      <c r="B93" s="868"/>
      <c r="C93" s="870"/>
      <c r="D93" s="83" t="s">
        <v>136</v>
      </c>
      <c r="E93" s="30">
        <v>3345</v>
      </c>
      <c r="F93" s="37">
        <v>829900.76</v>
      </c>
      <c r="G93" s="4"/>
      <c r="H93" s="17"/>
    </row>
    <row r="94" spans="1:9" s="1" customFormat="1" x14ac:dyDescent="0.25">
      <c r="A94" s="870"/>
      <c r="B94" s="868"/>
      <c r="C94" s="870"/>
      <c r="D94" s="83" t="s">
        <v>139</v>
      </c>
      <c r="E94" s="30">
        <v>1850</v>
      </c>
      <c r="F94" s="37">
        <v>462500</v>
      </c>
      <c r="G94" s="4"/>
      <c r="H94" s="17"/>
    </row>
    <row r="95" spans="1:9" s="1" customFormat="1" ht="39.75" customHeight="1" x14ac:dyDescent="0.25">
      <c r="A95" s="873"/>
      <c r="B95" s="874"/>
      <c r="C95" s="873"/>
      <c r="D95" s="195" t="s">
        <v>141</v>
      </c>
      <c r="E95" s="233">
        <v>2000</v>
      </c>
      <c r="F95" s="234">
        <v>500000</v>
      </c>
      <c r="G95" s="196"/>
      <c r="H95" s="197"/>
    </row>
    <row r="96" spans="1:9" s="8" customFormat="1" ht="6" hidden="1" customHeight="1" x14ac:dyDescent="0.25">
      <c r="A96" s="7"/>
      <c r="B96" s="7"/>
      <c r="C96" s="7"/>
      <c r="D96" s="7"/>
      <c r="E96" s="7"/>
      <c r="F96" s="93"/>
      <c r="G96" s="7"/>
      <c r="H96" s="7"/>
    </row>
    <row r="97" spans="1:8" s="9" customFormat="1" ht="30" hidden="1" customHeight="1" x14ac:dyDescent="0.25">
      <c r="A97" s="214" t="s">
        <v>63</v>
      </c>
      <c r="B97" s="831" t="s">
        <v>64</v>
      </c>
      <c r="C97" s="6" t="s">
        <v>65</v>
      </c>
      <c r="D97" s="155" t="s">
        <v>81</v>
      </c>
      <c r="E97" s="161" t="e">
        <f>SUM(#REF!)</f>
        <v>#REF!</v>
      </c>
      <c r="F97" s="158" t="e">
        <f>SUM(#REF!)</f>
        <v>#REF!</v>
      </c>
      <c r="G97" s="63" t="e">
        <f>#REF!+#REF!</f>
        <v>#REF!</v>
      </c>
      <c r="H97" s="78" t="e">
        <f>#REF!+#REF!</f>
        <v>#REF!</v>
      </c>
    </row>
    <row r="98" spans="1:8" s="9" customFormat="1" ht="30" hidden="1" customHeight="1" x14ac:dyDescent="0.25">
      <c r="A98" s="214"/>
      <c r="B98" s="879"/>
      <c r="C98" s="6"/>
      <c r="D98" s="70" t="s">
        <v>79</v>
      </c>
      <c r="E98" s="64"/>
      <c r="F98" s="95"/>
      <c r="G98" s="63">
        <f>SUM(G99:G107)</f>
        <v>0</v>
      </c>
      <c r="H98" s="78">
        <f>SUM(H99:H107)</f>
        <v>0</v>
      </c>
    </row>
    <row r="99" spans="1:8" s="16" customFormat="1" ht="15" hidden="1" customHeight="1" x14ac:dyDescent="0.25">
      <c r="A99" s="869"/>
      <c r="B99" s="879"/>
      <c r="C99" s="6"/>
      <c r="D99" s="83" t="s">
        <v>118</v>
      </c>
      <c r="E99" s="44"/>
      <c r="F99" s="41"/>
      <c r="G99" s="15"/>
      <c r="H99" s="53"/>
    </row>
    <row r="100" spans="1:8" s="1" customFormat="1" ht="15" hidden="1" customHeight="1" x14ac:dyDescent="0.25">
      <c r="A100" s="870"/>
      <c r="B100" s="879"/>
      <c r="C100" s="6"/>
      <c r="D100" s="83" t="s">
        <v>119</v>
      </c>
      <c r="E100" s="44"/>
      <c r="F100" s="38"/>
      <c r="G100" s="20"/>
      <c r="H100" s="17"/>
    </row>
    <row r="101" spans="1:8" s="1" customFormat="1" ht="15" hidden="1" customHeight="1" x14ac:dyDescent="0.25">
      <c r="A101" s="55"/>
      <c r="B101" s="879"/>
      <c r="C101" s="6"/>
      <c r="D101" s="83" t="s">
        <v>120</v>
      </c>
      <c r="E101" s="44"/>
      <c r="F101" s="39"/>
      <c r="G101" s="20"/>
      <c r="H101" s="17"/>
    </row>
    <row r="102" spans="1:8" s="1" customFormat="1" ht="15" hidden="1" customHeight="1" x14ac:dyDescent="0.25">
      <c r="A102" s="55"/>
      <c r="B102" s="879"/>
      <c r="C102" s="6"/>
      <c r="D102" s="83" t="s">
        <v>121</v>
      </c>
      <c r="E102" s="44"/>
      <c r="F102" s="39"/>
      <c r="G102" s="20"/>
      <c r="H102" s="17"/>
    </row>
    <row r="103" spans="1:8" s="1" customFormat="1" ht="15" hidden="1" customHeight="1" x14ac:dyDescent="0.25">
      <c r="A103" s="55"/>
      <c r="B103" s="879"/>
      <c r="C103" s="6"/>
      <c r="D103" s="83" t="s">
        <v>122</v>
      </c>
      <c r="E103" s="44"/>
      <c r="F103" s="39"/>
      <c r="G103" s="20"/>
      <c r="H103" s="17"/>
    </row>
    <row r="104" spans="1:8" s="1" customFormat="1" ht="15" hidden="1" customHeight="1" x14ac:dyDescent="0.25">
      <c r="A104" s="55"/>
      <c r="B104" s="879"/>
      <c r="C104" s="6"/>
      <c r="D104" s="83" t="s">
        <v>123</v>
      </c>
      <c r="E104" s="44"/>
      <c r="F104" s="40"/>
      <c r="G104" s="20"/>
      <c r="H104" s="17"/>
    </row>
    <row r="105" spans="1:8" s="1" customFormat="1" ht="15" hidden="1" customHeight="1" x14ac:dyDescent="0.25">
      <c r="A105" s="55"/>
      <c r="B105" s="879"/>
      <c r="C105" s="6"/>
      <c r="D105" s="83" t="s">
        <v>124</v>
      </c>
      <c r="E105" s="44"/>
      <c r="F105" s="40"/>
      <c r="G105" s="20"/>
      <c r="H105" s="17"/>
    </row>
    <row r="106" spans="1:8" s="1" customFormat="1" ht="15" hidden="1" customHeight="1" x14ac:dyDescent="0.25">
      <c r="A106" s="55"/>
      <c r="B106" s="879"/>
      <c r="C106" s="6"/>
      <c r="D106" s="83" t="s">
        <v>125</v>
      </c>
      <c r="E106" s="44"/>
      <c r="F106" s="40"/>
      <c r="G106" s="20"/>
      <c r="H106" s="17"/>
    </row>
    <row r="107" spans="1:8" s="1" customFormat="1" ht="15" hidden="1" customHeight="1" x14ac:dyDescent="0.25">
      <c r="A107" s="55"/>
      <c r="B107" s="879"/>
      <c r="C107" s="6"/>
      <c r="D107" s="83" t="s">
        <v>126</v>
      </c>
      <c r="E107" s="44"/>
      <c r="F107" s="40"/>
      <c r="G107" s="20"/>
      <c r="H107" s="17"/>
    </row>
    <row r="108" spans="1:8" s="2" customFormat="1" ht="24" hidden="1" customHeight="1" x14ac:dyDescent="0.25">
      <c r="A108" s="211"/>
      <c r="B108" s="879"/>
      <c r="C108" s="6"/>
      <c r="D108" s="70" t="s">
        <v>80</v>
      </c>
      <c r="E108" s="70">
        <f>SUM(E109:E116)</f>
        <v>0</v>
      </c>
      <c r="F108" s="84">
        <f>SUM(F109:F116)</f>
        <v>0</v>
      </c>
      <c r="G108" s="70">
        <f>SUM(G109:G116)</f>
        <v>0</v>
      </c>
      <c r="H108" s="71">
        <f>SUM(H109:H116)</f>
        <v>0</v>
      </c>
    </row>
    <row r="109" spans="1:8" s="2" customFormat="1" ht="14.25" hidden="1" customHeight="1" x14ac:dyDescent="0.25">
      <c r="A109" s="211"/>
      <c r="B109" s="879"/>
      <c r="C109" s="6"/>
      <c r="D109" s="83" t="s">
        <v>127</v>
      </c>
      <c r="E109" s="30"/>
      <c r="F109" s="37"/>
      <c r="G109" s="4"/>
      <c r="H109" s="17"/>
    </row>
    <row r="110" spans="1:8" s="2" customFormat="1" ht="14.25" hidden="1" customHeight="1" x14ac:dyDescent="0.25">
      <c r="A110" s="211"/>
      <c r="B110" s="879"/>
      <c r="C110" s="6"/>
      <c r="D110" s="83" t="s">
        <v>128</v>
      </c>
      <c r="E110" s="30"/>
      <c r="F110" s="37"/>
      <c r="G110" s="4"/>
      <c r="H110" s="17"/>
    </row>
    <row r="111" spans="1:8" s="2" customFormat="1" ht="14.25" hidden="1" customHeight="1" x14ac:dyDescent="0.25">
      <c r="A111" s="211"/>
      <c r="B111" s="879"/>
      <c r="C111" s="6"/>
      <c r="D111" s="83" t="s">
        <v>129</v>
      </c>
      <c r="E111" s="30"/>
      <c r="F111" s="37"/>
      <c r="G111" s="4"/>
      <c r="H111" s="17"/>
    </row>
    <row r="112" spans="1:8" s="2" customFormat="1" ht="14.25" hidden="1" customHeight="1" x14ac:dyDescent="0.25">
      <c r="A112" s="211"/>
      <c r="B112" s="879"/>
      <c r="C112" s="6"/>
      <c r="D112" s="83" t="s">
        <v>130</v>
      </c>
      <c r="E112" s="30"/>
      <c r="F112" s="37"/>
      <c r="G112" s="4"/>
      <c r="H112" s="17"/>
    </row>
    <row r="113" spans="1:8" s="2" customFormat="1" ht="14.25" hidden="1" customHeight="1" x14ac:dyDescent="0.25">
      <c r="A113" s="211"/>
      <c r="B113" s="879"/>
      <c r="C113" s="6"/>
      <c r="D113" s="83" t="s">
        <v>131</v>
      </c>
      <c r="E113" s="30"/>
      <c r="F113" s="37"/>
      <c r="G113" s="4"/>
      <c r="H113" s="17"/>
    </row>
    <row r="114" spans="1:8" s="2" customFormat="1" ht="14.25" hidden="1" customHeight="1" x14ac:dyDescent="0.25">
      <c r="A114" s="211"/>
      <c r="B114" s="879"/>
      <c r="C114" s="6"/>
      <c r="D114" s="83" t="s">
        <v>132</v>
      </c>
      <c r="E114" s="30"/>
      <c r="F114" s="37"/>
      <c r="G114" s="4"/>
      <c r="H114" s="17"/>
    </row>
    <row r="115" spans="1:8" s="2" customFormat="1" ht="14.25" hidden="1" customHeight="1" x14ac:dyDescent="0.25">
      <c r="A115" s="211"/>
      <c r="B115" s="879"/>
      <c r="C115" s="6"/>
      <c r="D115" s="83" t="s">
        <v>133</v>
      </c>
      <c r="E115" s="30"/>
      <c r="F115" s="37"/>
      <c r="G115" s="4"/>
      <c r="H115" s="17"/>
    </row>
    <row r="116" spans="1:8" s="2" customFormat="1" ht="14.25" hidden="1" customHeight="1" x14ac:dyDescent="0.25">
      <c r="A116" s="211"/>
      <c r="B116" s="879"/>
      <c r="C116" s="6"/>
      <c r="D116" s="83" t="s">
        <v>134</v>
      </c>
      <c r="E116" s="30"/>
      <c r="F116" s="37"/>
      <c r="G116" s="4"/>
      <c r="H116" s="17"/>
    </row>
    <row r="117" spans="1:8" s="2" customFormat="1" ht="24" hidden="1" customHeight="1" x14ac:dyDescent="0.25">
      <c r="A117" s="211"/>
      <c r="B117" s="879"/>
      <c r="C117" s="6"/>
      <c r="D117" s="70" t="s">
        <v>97</v>
      </c>
      <c r="E117" s="70">
        <f>SUM(E118:E124)</f>
        <v>0</v>
      </c>
      <c r="F117" s="84">
        <f>SUM(F118:F124)</f>
        <v>0</v>
      </c>
      <c r="G117" s="70">
        <f>SUM(G118:G124)</f>
        <v>0</v>
      </c>
      <c r="H117" s="71">
        <f>SUM(H118:H124)</f>
        <v>0</v>
      </c>
    </row>
    <row r="118" spans="1:8" s="2" customFormat="1" ht="14.25" hidden="1" customHeight="1" x14ac:dyDescent="0.25">
      <c r="A118" s="211"/>
      <c r="B118" s="879"/>
      <c r="C118" s="6"/>
      <c r="D118" s="83" t="s">
        <v>135</v>
      </c>
      <c r="E118" s="30"/>
      <c r="F118" s="37"/>
      <c r="G118" s="4"/>
      <c r="H118" s="17"/>
    </row>
    <row r="119" spans="1:8" s="2" customFormat="1" ht="14.25" hidden="1" customHeight="1" x14ac:dyDescent="0.25">
      <c r="A119" s="211"/>
      <c r="B119" s="879"/>
      <c r="C119" s="6"/>
      <c r="D119" s="83" t="s">
        <v>136</v>
      </c>
      <c r="E119" s="30"/>
      <c r="F119" s="37"/>
      <c r="G119" s="4"/>
      <c r="H119" s="17"/>
    </row>
    <row r="120" spans="1:8" s="2" customFormat="1" ht="14.25" hidden="1" customHeight="1" x14ac:dyDescent="0.25">
      <c r="A120" s="211"/>
      <c r="B120" s="879"/>
      <c r="C120" s="6"/>
      <c r="D120" s="83" t="s">
        <v>137</v>
      </c>
      <c r="E120" s="30"/>
      <c r="F120" s="37"/>
      <c r="G120" s="4"/>
      <c r="H120" s="17"/>
    </row>
    <row r="121" spans="1:8" s="2" customFormat="1" ht="14.25" hidden="1" customHeight="1" x14ac:dyDescent="0.25">
      <c r="A121" s="211"/>
      <c r="B121" s="879"/>
      <c r="C121" s="6"/>
      <c r="D121" s="83" t="s">
        <v>138</v>
      </c>
      <c r="E121" s="30"/>
      <c r="F121" s="37"/>
      <c r="G121" s="4"/>
      <c r="H121" s="17"/>
    </row>
    <row r="122" spans="1:8" s="2" customFormat="1" ht="14.25" hidden="1" customHeight="1" x14ac:dyDescent="0.25">
      <c r="A122" s="211"/>
      <c r="B122" s="879"/>
      <c r="C122" s="6"/>
      <c r="D122" s="83" t="s">
        <v>139</v>
      </c>
      <c r="E122" s="30"/>
      <c r="F122" s="37"/>
      <c r="G122" s="4"/>
      <c r="H122" s="17"/>
    </row>
    <row r="123" spans="1:8" s="2" customFormat="1" ht="14.25" hidden="1" customHeight="1" x14ac:dyDescent="0.25">
      <c r="A123" s="211"/>
      <c r="B123" s="879"/>
      <c r="C123" s="6"/>
      <c r="D123" s="83" t="s">
        <v>140</v>
      </c>
      <c r="E123" s="30"/>
      <c r="F123" s="37"/>
      <c r="G123" s="4"/>
      <c r="H123" s="17"/>
    </row>
    <row r="124" spans="1:8" s="2" customFormat="1" ht="14.25" hidden="1" customHeight="1" x14ac:dyDescent="0.25">
      <c r="A124" s="211"/>
      <c r="B124" s="879"/>
      <c r="C124" s="6"/>
      <c r="D124" s="83" t="s">
        <v>141</v>
      </c>
      <c r="E124" s="30"/>
      <c r="F124" s="37"/>
      <c r="G124" s="4"/>
      <c r="H124" s="17"/>
    </row>
    <row r="125" spans="1:8" s="2" customFormat="1" ht="24" hidden="1" customHeight="1" x14ac:dyDescent="0.25">
      <c r="A125" s="211"/>
      <c r="B125" s="879"/>
      <c r="C125" s="6"/>
      <c r="D125" s="70" t="s">
        <v>98</v>
      </c>
      <c r="E125" s="70">
        <f>SUM(E126:E133)</f>
        <v>0</v>
      </c>
      <c r="F125" s="84">
        <f>SUM(F126:F133)</f>
        <v>0</v>
      </c>
      <c r="G125" s="70">
        <f>SUM(G126:G133)</f>
        <v>0</v>
      </c>
      <c r="H125" s="71">
        <f>SUM(H126:H133)</f>
        <v>0</v>
      </c>
    </row>
    <row r="126" spans="1:8" s="2" customFormat="1" ht="14.25" hidden="1" customHeight="1" x14ac:dyDescent="0.25">
      <c r="A126" s="211"/>
      <c r="B126" s="879"/>
      <c r="C126" s="6"/>
      <c r="D126" s="83" t="s">
        <v>142</v>
      </c>
      <c r="E126" s="30"/>
      <c r="F126" s="37"/>
      <c r="G126" s="4"/>
      <c r="H126" s="17"/>
    </row>
    <row r="127" spans="1:8" s="2" customFormat="1" ht="14.25" hidden="1" customHeight="1" x14ac:dyDescent="0.25">
      <c r="A127" s="211"/>
      <c r="B127" s="879"/>
      <c r="C127" s="6"/>
      <c r="D127" s="83" t="s">
        <v>143</v>
      </c>
      <c r="E127" s="30"/>
      <c r="F127" s="37"/>
      <c r="G127" s="4"/>
      <c r="H127" s="17"/>
    </row>
    <row r="128" spans="1:8" s="2" customFormat="1" ht="14.25" hidden="1" customHeight="1" x14ac:dyDescent="0.25">
      <c r="A128" s="211"/>
      <c r="B128" s="879"/>
      <c r="C128" s="6"/>
      <c r="D128" s="83" t="s">
        <v>144</v>
      </c>
      <c r="E128" s="30"/>
      <c r="F128" s="37"/>
      <c r="G128" s="4"/>
      <c r="H128" s="17"/>
    </row>
    <row r="129" spans="1:8" s="2" customFormat="1" ht="14.25" hidden="1" customHeight="1" x14ac:dyDescent="0.25">
      <c r="A129" s="211"/>
      <c r="B129" s="879"/>
      <c r="C129" s="6"/>
      <c r="D129" s="83" t="s">
        <v>145</v>
      </c>
      <c r="E129" s="30"/>
      <c r="F129" s="37"/>
      <c r="G129" s="4"/>
      <c r="H129" s="17"/>
    </row>
    <row r="130" spans="1:8" s="2" customFormat="1" ht="14.25" hidden="1" customHeight="1" x14ac:dyDescent="0.25">
      <c r="A130" s="211"/>
      <c r="B130" s="879"/>
      <c r="C130" s="6"/>
      <c r="D130" s="83" t="s">
        <v>146</v>
      </c>
      <c r="E130" s="30"/>
      <c r="F130" s="37"/>
      <c r="G130" s="4"/>
      <c r="H130" s="17"/>
    </row>
    <row r="131" spans="1:8" s="2" customFormat="1" ht="14.25" hidden="1" customHeight="1" x14ac:dyDescent="0.25">
      <c r="A131" s="211"/>
      <c r="B131" s="879"/>
      <c r="C131" s="6"/>
      <c r="D131" s="83" t="s">
        <v>147</v>
      </c>
      <c r="E131" s="30"/>
      <c r="F131" s="37"/>
      <c r="G131" s="4"/>
      <c r="H131" s="17"/>
    </row>
    <row r="132" spans="1:8" s="2" customFormat="1" ht="14.25" hidden="1" customHeight="1" x14ac:dyDescent="0.25">
      <c r="A132" s="211"/>
      <c r="B132" s="879"/>
      <c r="C132" s="6"/>
      <c r="D132" s="83" t="s">
        <v>148</v>
      </c>
      <c r="E132" s="30"/>
      <c r="F132" s="37"/>
      <c r="G132" s="4"/>
      <c r="H132" s="17"/>
    </row>
    <row r="133" spans="1:8" s="2" customFormat="1" ht="14.25" hidden="1" customHeight="1" x14ac:dyDescent="0.25">
      <c r="A133" s="211"/>
      <c r="B133" s="879"/>
      <c r="C133" s="214"/>
      <c r="D133" s="86" t="s">
        <v>149</v>
      </c>
      <c r="E133" s="225"/>
      <c r="F133" s="226"/>
      <c r="G133" s="220"/>
      <c r="H133" s="145"/>
    </row>
    <row r="134" spans="1:8" s="123" customFormat="1" ht="5.25" customHeight="1" x14ac:dyDescent="0.25">
      <c r="F134" s="174"/>
    </row>
    <row r="135" spans="1:8" s="123" customFormat="1" ht="5.25" customHeight="1" x14ac:dyDescent="0.25">
      <c r="F135" s="174"/>
    </row>
    <row r="136" spans="1:8" s="123" customFormat="1" ht="5.25" customHeight="1" x14ac:dyDescent="0.25">
      <c r="F136" s="174"/>
    </row>
    <row r="137" spans="1:8" s="123" customFormat="1" ht="5.25" customHeight="1" x14ac:dyDescent="0.25">
      <c r="F137" s="174"/>
    </row>
    <row r="138" spans="1:8" s="123" customFormat="1" ht="5.25" customHeight="1" x14ac:dyDescent="0.25">
      <c r="F138" s="174"/>
    </row>
    <row r="139" spans="1:8" s="123" customFormat="1" ht="5.25" customHeight="1" x14ac:dyDescent="0.25">
      <c r="F139" s="174"/>
    </row>
    <row r="140" spans="1:8" s="123" customFormat="1" ht="5.25" customHeight="1" x14ac:dyDescent="0.25">
      <c r="F140" s="174"/>
    </row>
    <row r="141" spans="1:8" s="123" customFormat="1" ht="5.25" customHeight="1" x14ac:dyDescent="0.25">
      <c r="F141" s="174"/>
    </row>
    <row r="142" spans="1:8" s="123" customFormat="1" ht="5.25" customHeight="1" x14ac:dyDescent="0.25">
      <c r="F142" s="174"/>
    </row>
    <row r="143" spans="1:8" s="123" customFormat="1" ht="5.25" customHeight="1" x14ac:dyDescent="0.25">
      <c r="F143" s="174"/>
    </row>
    <row r="144" spans="1:8" s="123" customFormat="1" ht="5.25" customHeight="1" x14ac:dyDescent="0.25">
      <c r="F144" s="174"/>
    </row>
    <row r="145" spans="1:8" s="123" customFormat="1" ht="5.25" customHeight="1" x14ac:dyDescent="0.25">
      <c r="F145" s="174"/>
    </row>
    <row r="146" spans="1:8" s="123" customFormat="1" ht="5.25" customHeight="1" x14ac:dyDescent="0.25">
      <c r="F146" s="174"/>
    </row>
    <row r="147" spans="1:8" s="9" customFormat="1" ht="24.75" customHeight="1" x14ac:dyDescent="0.25">
      <c r="A147" s="869" t="s">
        <v>67</v>
      </c>
      <c r="B147" s="867" t="s">
        <v>68</v>
      </c>
      <c r="C147" s="869" t="s">
        <v>65</v>
      </c>
      <c r="D147" s="70" t="s">
        <v>97</v>
      </c>
      <c r="E147" s="70">
        <f>SUM(E148:E151)</f>
        <v>4840</v>
      </c>
      <c r="F147" s="84">
        <f>SUM(F148:F151)</f>
        <v>1374739.5</v>
      </c>
      <c r="G147" s="70">
        <f>SUM(G148:G151)</f>
        <v>0</v>
      </c>
      <c r="H147" s="71">
        <f>SUM(H148:H151)</f>
        <v>0</v>
      </c>
    </row>
    <row r="148" spans="1:8" s="16" customFormat="1" ht="15" customHeight="1" x14ac:dyDescent="0.25">
      <c r="A148" s="870"/>
      <c r="B148" s="868"/>
      <c r="C148" s="870"/>
      <c r="D148" s="83" t="s">
        <v>136</v>
      </c>
      <c r="E148" s="30">
        <f>605+2450</f>
        <v>3055</v>
      </c>
      <c r="F148" s="37">
        <f>151250+778452</f>
        <v>929702</v>
      </c>
      <c r="G148" s="4"/>
      <c r="H148" s="17"/>
    </row>
    <row r="149" spans="1:8" s="1" customFormat="1" x14ac:dyDescent="0.25">
      <c r="A149" s="870"/>
      <c r="B149" s="868"/>
      <c r="C149" s="870"/>
      <c r="D149" s="83" t="s">
        <v>138</v>
      </c>
      <c r="E149" s="30">
        <f>400</f>
        <v>400</v>
      </c>
      <c r="F149" s="37">
        <f>100000</f>
        <v>100000</v>
      </c>
      <c r="G149" s="4"/>
      <c r="H149" s="17"/>
    </row>
    <row r="150" spans="1:8" s="1" customFormat="1" x14ac:dyDescent="0.25">
      <c r="A150" s="870"/>
      <c r="B150" s="868"/>
      <c r="C150" s="870"/>
      <c r="D150" s="83" t="s">
        <v>139</v>
      </c>
      <c r="E150" s="30">
        <f>485+400</f>
        <v>885</v>
      </c>
      <c r="F150" s="37">
        <f>120037.5+100000</f>
        <v>220037.5</v>
      </c>
      <c r="G150" s="4"/>
      <c r="H150" s="17"/>
    </row>
    <row r="151" spans="1:8" s="1" customFormat="1" ht="50.25" customHeight="1" x14ac:dyDescent="0.25">
      <c r="A151" s="873"/>
      <c r="B151" s="874"/>
      <c r="C151" s="873"/>
      <c r="D151" s="195" t="s">
        <v>140</v>
      </c>
      <c r="E151" s="233">
        <f>500</f>
        <v>500</v>
      </c>
      <c r="F151" s="234">
        <f>125000</f>
        <v>125000</v>
      </c>
      <c r="G151" s="196"/>
      <c r="H151" s="197"/>
    </row>
    <row r="152" spans="1:8" x14ac:dyDescent="0.25">
      <c r="A152" t="s">
        <v>26</v>
      </c>
      <c r="B152" t="s">
        <v>28</v>
      </c>
      <c r="D152" t="s">
        <v>31</v>
      </c>
      <c r="F152"/>
    </row>
    <row r="153" spans="1:8" x14ac:dyDescent="0.25">
      <c r="F153"/>
    </row>
    <row r="154" spans="1:8" x14ac:dyDescent="0.25">
      <c r="F154"/>
    </row>
    <row r="155" spans="1:8" x14ac:dyDescent="0.25">
      <c r="F155"/>
    </row>
    <row r="156" spans="1:8" ht="14.45" x14ac:dyDescent="0.3">
      <c r="A156" t="s">
        <v>27</v>
      </c>
      <c r="B156" t="s">
        <v>29</v>
      </c>
      <c r="D156" t="s">
        <v>32</v>
      </c>
      <c r="F156"/>
    </row>
    <row r="157" spans="1:8" x14ac:dyDescent="0.25">
      <c r="A157" t="s">
        <v>223</v>
      </c>
      <c r="B157" t="s">
        <v>30</v>
      </c>
      <c r="D157" t="s">
        <v>33</v>
      </c>
      <c r="F157"/>
    </row>
  </sheetData>
  <mergeCells count="39">
    <mergeCell ref="B75:B81"/>
    <mergeCell ref="C75:C81"/>
    <mergeCell ref="A91:A95"/>
    <mergeCell ref="C91:C95"/>
    <mergeCell ref="A147:A151"/>
    <mergeCell ref="B147:B151"/>
    <mergeCell ref="C147:C151"/>
    <mergeCell ref="B91:B95"/>
    <mergeCell ref="B97:B133"/>
    <mergeCell ref="A99:A100"/>
    <mergeCell ref="A57:A64"/>
    <mergeCell ref="C57:C64"/>
    <mergeCell ref="A11:A18"/>
    <mergeCell ref="C11:C18"/>
    <mergeCell ref="B83:B85"/>
    <mergeCell ref="A84:A89"/>
    <mergeCell ref="A66:A73"/>
    <mergeCell ref="B66:B73"/>
    <mergeCell ref="C66:C73"/>
    <mergeCell ref="A75:A81"/>
    <mergeCell ref="B57:B64"/>
    <mergeCell ref="A20:A23"/>
    <mergeCell ref="C20:C23"/>
    <mergeCell ref="A25:A32"/>
    <mergeCell ref="B25:B32"/>
    <mergeCell ref="C25:C32"/>
    <mergeCell ref="G7:H7"/>
    <mergeCell ref="B11:B18"/>
    <mergeCell ref="B20:B23"/>
    <mergeCell ref="A1:H1"/>
    <mergeCell ref="A2:H2"/>
    <mergeCell ref="A4:H4"/>
    <mergeCell ref="A5:H5"/>
    <mergeCell ref="A7:A8"/>
    <mergeCell ref="B7:B8"/>
    <mergeCell ref="C7:C8"/>
    <mergeCell ref="D7:D8"/>
    <mergeCell ref="E7:E8"/>
    <mergeCell ref="F7:F8"/>
  </mergeCells>
  <printOptions horizontalCentered="1"/>
  <pageMargins left="0.17" right="0.56999999999999995" top="0.68" bottom="0.69" header="0.3" footer="0.4"/>
  <pageSetup paperSize="9" scale="80" orientation="landscape" verticalDpi="300" r:id="rId1"/>
  <headerFooter>
    <oddFooter>&amp;L3rd District of Nueva Ecija&amp;CPage &amp;P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267</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97</v>
      </c>
      <c r="D8" s="224">
        <f>SUM(D9:D11)</f>
        <v>7</v>
      </c>
      <c r="E8" s="84">
        <f>SUM(E9:E11)</f>
        <v>8832500</v>
      </c>
    </row>
    <row r="9" spans="1:5" s="3" customFormat="1" ht="21.75" customHeight="1" x14ac:dyDescent="0.25">
      <c r="A9" s="870"/>
      <c r="B9" s="1066"/>
      <c r="C9" s="259" t="s">
        <v>268</v>
      </c>
      <c r="D9" s="260">
        <v>1</v>
      </c>
      <c r="E9" s="261">
        <v>2975000</v>
      </c>
    </row>
    <row r="10" spans="1:5" s="3" customFormat="1" ht="21.75" customHeight="1" x14ac:dyDescent="0.25">
      <c r="A10" s="870"/>
      <c r="B10" s="1066"/>
      <c r="C10" s="259" t="s">
        <v>269</v>
      </c>
      <c r="D10" s="260">
        <v>5</v>
      </c>
      <c r="E10" s="261">
        <v>3357500</v>
      </c>
    </row>
    <row r="11" spans="1:5" s="3" customFormat="1" ht="21.75" customHeight="1" x14ac:dyDescent="0.25">
      <c r="A11" s="873"/>
      <c r="B11" s="1065"/>
      <c r="C11" s="259" t="s">
        <v>270</v>
      </c>
      <c r="D11" s="260">
        <v>1</v>
      </c>
      <c r="E11" s="261">
        <v>2500000</v>
      </c>
    </row>
    <row r="12" spans="1:5" ht="21" customHeight="1" x14ac:dyDescent="0.3">
      <c r="A12" s="52"/>
      <c r="B12" s="258"/>
      <c r="C12" s="115"/>
      <c r="D12" s="251"/>
      <c r="E12" s="252"/>
    </row>
    <row r="13" spans="1:5" ht="15" customHeight="1" x14ac:dyDescent="0.25">
      <c r="A13" s="52"/>
      <c r="B13" s="258"/>
      <c r="C13" s="115"/>
      <c r="D13" s="251"/>
      <c r="E13" s="252"/>
    </row>
    <row r="14" spans="1:5" x14ac:dyDescent="0.25">
      <c r="A14" t="s">
        <v>27</v>
      </c>
      <c r="B14" t="s">
        <v>29</v>
      </c>
      <c r="D14" t="s">
        <v>32</v>
      </c>
    </row>
    <row r="15" spans="1:5" x14ac:dyDescent="0.25">
      <c r="A15" t="s">
        <v>223</v>
      </c>
      <c r="B15" t="s">
        <v>30</v>
      </c>
      <c r="D15" t="s">
        <v>33</v>
      </c>
    </row>
  </sheetData>
  <mergeCells count="10">
    <mergeCell ref="A8:A11"/>
    <mergeCell ref="B8:B11"/>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workbookViewId="0">
      <selection activeCell="A6" sqref="A6:F12"/>
    </sheetView>
  </sheetViews>
  <sheetFormatPr defaultRowHeight="15" x14ac:dyDescent="0.25"/>
  <cols>
    <col min="1" max="1" width="30.85546875" customWidth="1"/>
    <col min="2" max="2" width="42" customWidth="1"/>
    <col min="3" max="3" width="15.85546875" customWidth="1"/>
    <col min="4" max="4" width="20.28515625" customWidth="1"/>
    <col min="5" max="5" width="10.85546875" customWidth="1"/>
    <col min="6" max="6" width="19.7109375" style="97" customWidth="1"/>
    <col min="7" max="7" width="13.140625" customWidth="1"/>
    <col min="8" max="8" width="20.285156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234</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92">
        <f>F11+F21+F27+F49+F59+F69+F84+F139</f>
        <v>109354855.73999999</v>
      </c>
      <c r="G9" s="11"/>
      <c r="H9" s="92">
        <f>H11+H21+H27+H49+H59+H69+H84+H139</f>
        <v>287432880</v>
      </c>
    </row>
    <row r="10" spans="1:8" s="8" customFormat="1" ht="4.5" customHeight="1" x14ac:dyDescent="0.25">
      <c r="A10" s="7"/>
      <c r="B10" s="7"/>
      <c r="C10" s="7"/>
      <c r="D10" s="7"/>
      <c r="E10" s="7"/>
      <c r="F10" s="93"/>
      <c r="G10" s="7"/>
      <c r="H10" s="7"/>
    </row>
    <row r="11" spans="1:8" s="3" customFormat="1" ht="19.5" customHeight="1" x14ac:dyDescent="0.25">
      <c r="A11" s="869" t="s">
        <v>5</v>
      </c>
      <c r="B11" s="867" t="s">
        <v>50</v>
      </c>
      <c r="C11" s="871" t="s">
        <v>21</v>
      </c>
      <c r="D11" s="70" t="s">
        <v>98</v>
      </c>
      <c r="E11" s="70">
        <f>SUM(E12:E19)</f>
        <v>15062</v>
      </c>
      <c r="F11" s="84">
        <f>SUM(F12:F19)</f>
        <v>89881200</v>
      </c>
      <c r="G11" s="70">
        <f>SUM(G12:G19)</f>
        <v>17127</v>
      </c>
      <c r="H11" s="71">
        <f>SUM(H12:H19)</f>
        <v>256905000</v>
      </c>
    </row>
    <row r="12" spans="1:8" s="9" customFormat="1" ht="21" customHeight="1" x14ac:dyDescent="0.25">
      <c r="A12" s="870"/>
      <c r="B12" s="868"/>
      <c r="C12" s="872"/>
      <c r="D12" s="83" t="s">
        <v>142</v>
      </c>
      <c r="E12" s="30">
        <v>2253</v>
      </c>
      <c r="F12" s="37">
        <v>13358000</v>
      </c>
      <c r="G12" s="4">
        <v>2594</v>
      </c>
      <c r="H12" s="17">
        <v>38910000</v>
      </c>
    </row>
    <row r="13" spans="1:8" s="16" customFormat="1" ht="15" customHeight="1" x14ac:dyDescent="0.25">
      <c r="A13" s="870"/>
      <c r="B13" s="868"/>
      <c r="C13" s="872"/>
      <c r="D13" s="83" t="s">
        <v>143</v>
      </c>
      <c r="E13" s="30">
        <v>1791</v>
      </c>
      <c r="F13" s="37">
        <v>12143600</v>
      </c>
      <c r="G13" s="4">
        <v>1946</v>
      </c>
      <c r="H13" s="17">
        <v>29190000</v>
      </c>
    </row>
    <row r="14" spans="1:8" s="1" customFormat="1" x14ac:dyDescent="0.25">
      <c r="A14" s="870"/>
      <c r="B14" s="868"/>
      <c r="C14" s="872"/>
      <c r="D14" s="83" t="s">
        <v>144</v>
      </c>
      <c r="E14" s="30">
        <v>1055</v>
      </c>
      <c r="F14" s="37">
        <v>7427500</v>
      </c>
      <c r="G14" s="4">
        <v>1254</v>
      </c>
      <c r="H14" s="17">
        <v>18810000</v>
      </c>
    </row>
    <row r="15" spans="1:8" s="1" customFormat="1" x14ac:dyDescent="0.25">
      <c r="A15" s="870"/>
      <c r="B15" s="868"/>
      <c r="C15" s="872"/>
      <c r="D15" s="83" t="s">
        <v>145</v>
      </c>
      <c r="E15" s="30">
        <v>3634</v>
      </c>
      <c r="F15" s="37">
        <v>21449000</v>
      </c>
      <c r="G15" s="4">
        <v>4159</v>
      </c>
      <c r="H15" s="17">
        <v>62385000</v>
      </c>
    </row>
    <row r="16" spans="1:8" s="1" customFormat="1" x14ac:dyDescent="0.25">
      <c r="A16" s="870"/>
      <c r="B16" s="868"/>
      <c r="C16" s="872"/>
      <c r="D16" s="83" t="s">
        <v>146</v>
      </c>
      <c r="E16" s="30">
        <v>616</v>
      </c>
      <c r="F16" s="37">
        <v>3889400</v>
      </c>
      <c r="G16" s="4">
        <v>663</v>
      </c>
      <c r="H16" s="17">
        <v>9945000</v>
      </c>
    </row>
    <row r="17" spans="1:8" s="1" customFormat="1" x14ac:dyDescent="0.25">
      <c r="A17" s="870"/>
      <c r="B17" s="868"/>
      <c r="C17" s="872"/>
      <c r="D17" s="83" t="s">
        <v>147</v>
      </c>
      <c r="E17" s="30">
        <v>2799</v>
      </c>
      <c r="F17" s="37">
        <v>14932700</v>
      </c>
      <c r="G17" s="4">
        <v>3088</v>
      </c>
      <c r="H17" s="17">
        <v>46320000</v>
      </c>
    </row>
    <row r="18" spans="1:8" s="1" customFormat="1" x14ac:dyDescent="0.25">
      <c r="A18" s="870"/>
      <c r="B18" s="868"/>
      <c r="C18" s="872"/>
      <c r="D18" s="83" t="s">
        <v>148</v>
      </c>
      <c r="E18" s="30">
        <v>1239</v>
      </c>
      <c r="F18" s="37">
        <v>6595200</v>
      </c>
      <c r="G18" s="4">
        <v>1545</v>
      </c>
      <c r="H18" s="17">
        <v>23175000</v>
      </c>
    </row>
    <row r="19" spans="1:8" s="1" customFormat="1" x14ac:dyDescent="0.25">
      <c r="A19" s="873"/>
      <c r="B19" s="874"/>
      <c r="C19" s="875"/>
      <c r="D19" s="83" t="s">
        <v>149</v>
      </c>
      <c r="E19" s="30">
        <v>1675</v>
      </c>
      <c r="F19" s="37">
        <v>10085800</v>
      </c>
      <c r="G19" s="4">
        <v>1878</v>
      </c>
      <c r="H19" s="17">
        <v>28170000</v>
      </c>
    </row>
    <row r="20" spans="1:8" s="8" customFormat="1" ht="4.5" customHeight="1" x14ac:dyDescent="0.25">
      <c r="A20" s="7"/>
      <c r="B20" s="7"/>
      <c r="C20" s="7"/>
      <c r="D20" s="7"/>
      <c r="E20" s="7"/>
      <c r="F20" s="93"/>
      <c r="G20" s="7"/>
      <c r="H20" s="7"/>
    </row>
    <row r="21" spans="1:8" s="9" customFormat="1" ht="18" customHeight="1" x14ac:dyDescent="0.25">
      <c r="A21" s="869" t="s">
        <v>61</v>
      </c>
      <c r="B21" s="867" t="s">
        <v>62</v>
      </c>
      <c r="C21" s="871" t="s">
        <v>21</v>
      </c>
      <c r="D21" s="70" t="s">
        <v>98</v>
      </c>
      <c r="E21" s="70">
        <f>SUM(E22:E25)</f>
        <v>135</v>
      </c>
      <c r="F21" s="84">
        <f>SUM(F22:F25)</f>
        <v>212000</v>
      </c>
      <c r="G21" s="70">
        <f>SUM(G22:G25)</f>
        <v>0</v>
      </c>
      <c r="H21" s="71">
        <f>SUM(H22:H25)</f>
        <v>0</v>
      </c>
    </row>
    <row r="22" spans="1:8" s="9" customFormat="1" ht="21.75" customHeight="1" x14ac:dyDescent="0.25">
      <c r="A22" s="870"/>
      <c r="B22" s="868"/>
      <c r="C22" s="872"/>
      <c r="D22" s="83" t="s">
        <v>142</v>
      </c>
      <c r="E22" s="30">
        <v>1</v>
      </c>
      <c r="F22" s="37">
        <v>2800</v>
      </c>
      <c r="G22" s="4"/>
      <c r="H22" s="17"/>
    </row>
    <row r="23" spans="1:8" s="1" customFormat="1" x14ac:dyDescent="0.25">
      <c r="A23" s="870"/>
      <c r="B23" s="868"/>
      <c r="C23" s="872"/>
      <c r="D23" s="83" t="s">
        <v>144</v>
      </c>
      <c r="E23" s="30">
        <v>93</v>
      </c>
      <c r="F23" s="37">
        <v>20900</v>
      </c>
      <c r="G23" s="4"/>
      <c r="H23" s="17"/>
    </row>
    <row r="24" spans="1:8" s="1" customFormat="1" x14ac:dyDescent="0.25">
      <c r="A24" s="870"/>
      <c r="B24" s="868"/>
      <c r="C24" s="872"/>
      <c r="D24" s="83" t="s">
        <v>145</v>
      </c>
      <c r="E24" s="30">
        <v>29</v>
      </c>
      <c r="F24" s="37">
        <v>145100</v>
      </c>
      <c r="G24" s="4"/>
      <c r="H24" s="17"/>
    </row>
    <row r="25" spans="1:8" s="1" customFormat="1" ht="38.25" customHeight="1" x14ac:dyDescent="0.25">
      <c r="A25" s="870"/>
      <c r="B25" s="868"/>
      <c r="C25" s="872"/>
      <c r="D25" s="195" t="s">
        <v>147</v>
      </c>
      <c r="E25" s="233">
        <v>12</v>
      </c>
      <c r="F25" s="234">
        <v>43200</v>
      </c>
      <c r="G25" s="196"/>
      <c r="H25" s="197"/>
    </row>
    <row r="26" spans="1:8" s="8" customFormat="1" ht="4.5" customHeight="1" x14ac:dyDescent="0.25">
      <c r="A26" s="7"/>
      <c r="B26" s="7"/>
      <c r="C26" s="7"/>
      <c r="D26" s="7"/>
      <c r="E26" s="7"/>
      <c r="F26" s="93"/>
      <c r="G26" s="7"/>
      <c r="H26" s="7"/>
    </row>
    <row r="27" spans="1:8" s="9" customFormat="1" ht="27" customHeight="1" x14ac:dyDescent="0.25">
      <c r="A27" s="869" t="s">
        <v>7</v>
      </c>
      <c r="B27" s="867" t="s">
        <v>52</v>
      </c>
      <c r="C27" s="871" t="s">
        <v>53</v>
      </c>
      <c r="D27" s="70" t="s">
        <v>98</v>
      </c>
      <c r="E27" s="70">
        <f>SUM(E28:E35)</f>
        <v>49</v>
      </c>
      <c r="F27" s="84">
        <f>SUM(F28:F35)</f>
        <v>245000</v>
      </c>
      <c r="G27" s="70">
        <f>SUM(G28:G35)</f>
        <v>285</v>
      </c>
      <c r="H27" s="71">
        <f>SUM(H28:H35)</f>
        <v>2400000</v>
      </c>
    </row>
    <row r="28" spans="1:8" s="9" customFormat="1" ht="30" customHeight="1" x14ac:dyDescent="0.25">
      <c r="A28" s="870"/>
      <c r="B28" s="868"/>
      <c r="C28" s="872"/>
      <c r="D28" s="83" t="s">
        <v>142</v>
      </c>
      <c r="E28" s="30"/>
      <c r="F28" s="37"/>
      <c r="G28" s="4">
        <v>20</v>
      </c>
      <c r="H28" s="17">
        <v>300000</v>
      </c>
    </row>
    <row r="29" spans="1:8" s="16" customFormat="1" ht="15" customHeight="1" x14ac:dyDescent="0.25">
      <c r="A29" s="870"/>
      <c r="B29" s="868"/>
      <c r="C29" s="872"/>
      <c r="D29" s="83" t="s">
        <v>143</v>
      </c>
      <c r="E29" s="30"/>
      <c r="F29" s="37"/>
      <c r="G29" s="4">
        <v>30</v>
      </c>
      <c r="H29" s="17">
        <v>300000</v>
      </c>
    </row>
    <row r="30" spans="1:8" s="1" customFormat="1" x14ac:dyDescent="0.25">
      <c r="A30" s="870"/>
      <c r="B30" s="868"/>
      <c r="C30" s="872"/>
      <c r="D30" s="83" t="s">
        <v>144</v>
      </c>
      <c r="E30" s="30"/>
      <c r="F30" s="37"/>
      <c r="G30" s="4">
        <v>25</v>
      </c>
      <c r="H30" s="17">
        <v>300000</v>
      </c>
    </row>
    <row r="31" spans="1:8" s="1" customFormat="1" x14ac:dyDescent="0.25">
      <c r="A31" s="870"/>
      <c r="B31" s="868"/>
      <c r="C31" s="872"/>
      <c r="D31" s="83" t="s">
        <v>145</v>
      </c>
      <c r="E31" s="30">
        <f>49</f>
        <v>49</v>
      </c>
      <c r="F31" s="37">
        <f>245000</f>
        <v>245000</v>
      </c>
      <c r="G31" s="4">
        <v>90</v>
      </c>
      <c r="H31" s="17">
        <v>450000</v>
      </c>
    </row>
    <row r="32" spans="1:8" s="1" customFormat="1" x14ac:dyDescent="0.25">
      <c r="A32" s="870"/>
      <c r="B32" s="868"/>
      <c r="C32" s="872"/>
      <c r="D32" s="83" t="s">
        <v>146</v>
      </c>
      <c r="E32" s="30"/>
      <c r="F32" s="37"/>
      <c r="G32" s="4">
        <v>15</v>
      </c>
      <c r="H32" s="17">
        <v>300000</v>
      </c>
    </row>
    <row r="33" spans="1:8" s="1" customFormat="1" x14ac:dyDescent="0.25">
      <c r="A33" s="870"/>
      <c r="B33" s="868"/>
      <c r="C33" s="872"/>
      <c r="D33" s="83" t="s">
        <v>147</v>
      </c>
      <c r="E33" s="30"/>
      <c r="F33" s="37"/>
      <c r="G33" s="4">
        <v>20</v>
      </c>
      <c r="H33" s="17">
        <v>150000</v>
      </c>
    </row>
    <row r="34" spans="1:8" s="1" customFormat="1" x14ac:dyDescent="0.25">
      <c r="A34" s="870"/>
      <c r="B34" s="868"/>
      <c r="C34" s="872"/>
      <c r="D34" s="83" t="s">
        <v>148</v>
      </c>
      <c r="E34" s="30"/>
      <c r="F34" s="37"/>
      <c r="G34" s="4">
        <v>60</v>
      </c>
      <c r="H34" s="17">
        <v>300000</v>
      </c>
    </row>
    <row r="35" spans="1:8" s="1" customFormat="1" x14ac:dyDescent="0.25">
      <c r="A35" s="873"/>
      <c r="B35" s="874"/>
      <c r="C35" s="875"/>
      <c r="D35" s="83" t="s">
        <v>149</v>
      </c>
      <c r="E35" s="30"/>
      <c r="F35" s="37"/>
      <c r="G35" s="4">
        <v>25</v>
      </c>
      <c r="H35" s="17">
        <v>300000</v>
      </c>
    </row>
    <row r="36" spans="1:8" s="123" customFormat="1" ht="4.5" customHeight="1" x14ac:dyDescent="0.25">
      <c r="F36" s="174"/>
    </row>
    <row r="37" spans="1:8" s="123" customFormat="1" ht="4.5" customHeight="1" x14ac:dyDescent="0.25">
      <c r="F37" s="174"/>
    </row>
    <row r="38" spans="1:8" s="123" customFormat="1" ht="4.5" customHeight="1" x14ac:dyDescent="0.25">
      <c r="F38" s="174"/>
    </row>
    <row r="39" spans="1:8" s="123" customFormat="1" ht="4.5" customHeight="1" x14ac:dyDescent="0.25">
      <c r="F39" s="174"/>
    </row>
    <row r="40" spans="1:8" s="123" customFormat="1" ht="4.5" customHeight="1" x14ac:dyDescent="0.25">
      <c r="F40" s="174"/>
    </row>
    <row r="41" spans="1:8" s="123" customFormat="1" ht="4.5" customHeight="1" x14ac:dyDescent="0.25">
      <c r="F41" s="174"/>
    </row>
    <row r="42" spans="1:8" s="123" customFormat="1" ht="4.5" customHeight="1" x14ac:dyDescent="0.25">
      <c r="F42" s="174"/>
    </row>
    <row r="43" spans="1:8" s="123" customFormat="1" ht="4.5" customHeight="1" x14ac:dyDescent="0.25">
      <c r="F43" s="174"/>
    </row>
    <row r="44" spans="1:8" s="123" customFormat="1" ht="4.5" customHeight="1" x14ac:dyDescent="0.25">
      <c r="F44" s="174"/>
    </row>
    <row r="45" spans="1:8" s="123" customFormat="1" ht="4.5" customHeight="1" x14ac:dyDescent="0.25">
      <c r="F45" s="174"/>
    </row>
    <row r="46" spans="1:8" s="123" customFormat="1" ht="4.5" customHeight="1" x14ac:dyDescent="0.25">
      <c r="F46" s="174"/>
    </row>
    <row r="47" spans="1:8" s="123" customFormat="1" ht="4.5" customHeight="1" x14ac:dyDescent="0.25">
      <c r="F47" s="174"/>
    </row>
    <row r="48" spans="1:8" s="123" customFormat="1" ht="4.5" customHeight="1" x14ac:dyDescent="0.25">
      <c r="F48" s="174"/>
    </row>
    <row r="49" spans="1:8" s="9" customFormat="1" ht="20.25" customHeight="1" x14ac:dyDescent="0.25">
      <c r="A49" s="869" t="s">
        <v>6</v>
      </c>
      <c r="B49" s="867" t="s">
        <v>54</v>
      </c>
      <c r="C49" s="869" t="s">
        <v>20</v>
      </c>
      <c r="D49" s="70" t="s">
        <v>98</v>
      </c>
      <c r="E49" s="70">
        <f>SUM(E50:E57)</f>
        <v>8099</v>
      </c>
      <c r="F49" s="84">
        <f>SUM(F50:F57)</f>
        <v>10897070</v>
      </c>
      <c r="G49" s="70">
        <f>SUM(G50:G57)</f>
        <v>9723</v>
      </c>
      <c r="H49" s="71">
        <f>SUM(H50:H57)</f>
        <v>15167880</v>
      </c>
    </row>
    <row r="50" spans="1:8" s="9" customFormat="1" ht="18.75" customHeight="1" x14ac:dyDescent="0.25">
      <c r="A50" s="870"/>
      <c r="B50" s="868"/>
      <c r="C50" s="870"/>
      <c r="D50" s="83" t="s">
        <v>142</v>
      </c>
      <c r="E50" s="30">
        <v>1197</v>
      </c>
      <c r="F50" s="37">
        <v>1881670</v>
      </c>
      <c r="G50" s="4">
        <v>1437</v>
      </c>
      <c r="H50" s="17">
        <v>2241720</v>
      </c>
    </row>
    <row r="51" spans="1:8" s="16" customFormat="1" ht="15" customHeight="1" x14ac:dyDescent="0.25">
      <c r="A51" s="870"/>
      <c r="B51" s="868"/>
      <c r="C51" s="870"/>
      <c r="D51" s="83" t="s">
        <v>143</v>
      </c>
      <c r="E51" s="30">
        <v>1107</v>
      </c>
      <c r="F51" s="37">
        <v>1740220</v>
      </c>
      <c r="G51" s="4">
        <v>1329</v>
      </c>
      <c r="H51" s="17">
        <v>2073240</v>
      </c>
    </row>
    <row r="52" spans="1:8" s="1" customFormat="1" x14ac:dyDescent="0.25">
      <c r="A52" s="870"/>
      <c r="B52" s="868"/>
      <c r="C52" s="870"/>
      <c r="D52" s="83" t="s">
        <v>144</v>
      </c>
      <c r="E52" s="30">
        <v>921</v>
      </c>
      <c r="F52" s="37">
        <v>1447810</v>
      </c>
      <c r="G52" s="4">
        <v>1105</v>
      </c>
      <c r="H52" s="17">
        <v>1723800</v>
      </c>
    </row>
    <row r="53" spans="1:8" s="1" customFormat="1" x14ac:dyDescent="0.25">
      <c r="A53" s="870"/>
      <c r="B53" s="868"/>
      <c r="C53" s="870"/>
      <c r="D53" s="83" t="s">
        <v>145</v>
      </c>
      <c r="E53" s="30">
        <v>1189</v>
      </c>
      <c r="F53" s="37">
        <v>1869090</v>
      </c>
      <c r="G53" s="4">
        <v>1427</v>
      </c>
      <c r="H53" s="17">
        <v>2226120</v>
      </c>
    </row>
    <row r="54" spans="1:8" s="1" customFormat="1" x14ac:dyDescent="0.25">
      <c r="A54" s="870"/>
      <c r="B54" s="868"/>
      <c r="C54" s="870"/>
      <c r="D54" s="83" t="s">
        <v>146</v>
      </c>
      <c r="E54" s="30">
        <v>521</v>
      </c>
      <c r="F54" s="37">
        <v>819010</v>
      </c>
      <c r="G54" s="4">
        <v>627</v>
      </c>
      <c r="H54" s="17">
        <v>978120</v>
      </c>
    </row>
    <row r="55" spans="1:8" s="1" customFormat="1" x14ac:dyDescent="0.25">
      <c r="A55" s="870"/>
      <c r="B55" s="868"/>
      <c r="C55" s="870"/>
      <c r="D55" s="83" t="s">
        <v>147</v>
      </c>
      <c r="E55" s="30">
        <v>1167</v>
      </c>
      <c r="F55" s="37"/>
      <c r="G55" s="4">
        <v>1401</v>
      </c>
      <c r="H55" s="17">
        <v>2185560</v>
      </c>
    </row>
    <row r="56" spans="1:8" s="1" customFormat="1" x14ac:dyDescent="0.25">
      <c r="A56" s="870"/>
      <c r="B56" s="868"/>
      <c r="C56" s="870"/>
      <c r="D56" s="83" t="s">
        <v>148</v>
      </c>
      <c r="E56" s="30">
        <v>850</v>
      </c>
      <c r="F56" s="37">
        <v>1336200</v>
      </c>
      <c r="G56" s="4">
        <v>1020</v>
      </c>
      <c r="H56" s="17">
        <v>1591200</v>
      </c>
    </row>
    <row r="57" spans="1:8" s="1" customFormat="1" x14ac:dyDescent="0.25">
      <c r="A57" s="873"/>
      <c r="B57" s="874"/>
      <c r="C57" s="873"/>
      <c r="D57" s="83" t="s">
        <v>149</v>
      </c>
      <c r="E57" s="30">
        <v>1147</v>
      </c>
      <c r="F57" s="37">
        <v>1803070</v>
      </c>
      <c r="G57" s="4">
        <v>1377</v>
      </c>
      <c r="H57" s="17">
        <v>2148120</v>
      </c>
    </row>
    <row r="58" spans="1:8" s="8" customFormat="1" ht="3.75" customHeight="1" x14ac:dyDescent="0.25">
      <c r="A58" s="7"/>
      <c r="B58" s="7"/>
      <c r="C58" s="7"/>
      <c r="D58" s="7"/>
      <c r="E58" s="7"/>
      <c r="F58" s="93"/>
      <c r="G58" s="7"/>
      <c r="H58" s="7"/>
    </row>
    <row r="59" spans="1:8" s="9" customFormat="1" ht="24" customHeight="1" x14ac:dyDescent="0.25">
      <c r="A59" s="869" t="s">
        <v>16</v>
      </c>
      <c r="B59" s="869" t="s">
        <v>55</v>
      </c>
      <c r="C59" s="869" t="s">
        <v>19</v>
      </c>
      <c r="D59" s="70" t="s">
        <v>98</v>
      </c>
      <c r="E59" s="70">
        <f>SUM(E60:E67)</f>
        <v>930</v>
      </c>
      <c r="F59" s="84">
        <f>SUM(F60:F67)</f>
        <v>3956000</v>
      </c>
      <c r="G59" s="70">
        <f>SUM(G60:G67)</f>
        <v>2160</v>
      </c>
      <c r="H59" s="71">
        <f>SUM(H60:H67)</f>
        <v>12960000</v>
      </c>
    </row>
    <row r="60" spans="1:8" s="9" customFormat="1" ht="20.25" customHeight="1" x14ac:dyDescent="0.25">
      <c r="A60" s="870"/>
      <c r="B60" s="870"/>
      <c r="C60" s="870"/>
      <c r="D60" s="83" t="s">
        <v>142</v>
      </c>
      <c r="E60" s="30">
        <v>158</v>
      </c>
      <c r="F60" s="37">
        <v>689000</v>
      </c>
      <c r="G60" s="4">
        <v>303</v>
      </c>
      <c r="H60" s="17">
        <v>1818000</v>
      </c>
    </row>
    <row r="61" spans="1:8" s="16" customFormat="1" ht="15" customHeight="1" x14ac:dyDescent="0.25">
      <c r="A61" s="870"/>
      <c r="B61" s="870"/>
      <c r="C61" s="870"/>
      <c r="D61" s="83" t="s">
        <v>143</v>
      </c>
      <c r="E61" s="30">
        <v>115</v>
      </c>
      <c r="F61" s="37">
        <v>453000</v>
      </c>
      <c r="G61" s="4">
        <v>245</v>
      </c>
      <c r="H61" s="17">
        <v>1470000</v>
      </c>
    </row>
    <row r="62" spans="1:8" s="1" customFormat="1" x14ac:dyDescent="0.25">
      <c r="A62" s="870"/>
      <c r="B62" s="870"/>
      <c r="C62" s="870"/>
      <c r="D62" s="83" t="s">
        <v>144</v>
      </c>
      <c r="E62" s="30">
        <v>103</v>
      </c>
      <c r="F62" s="37">
        <v>460500</v>
      </c>
      <c r="G62" s="4">
        <v>263</v>
      </c>
      <c r="H62" s="17">
        <v>1578000</v>
      </c>
    </row>
    <row r="63" spans="1:8" s="1" customFormat="1" x14ac:dyDescent="0.25">
      <c r="A63" s="870"/>
      <c r="B63" s="870"/>
      <c r="C63" s="870"/>
      <c r="D63" s="83" t="s">
        <v>145</v>
      </c>
      <c r="E63" s="30">
        <v>176</v>
      </c>
      <c r="F63" s="37">
        <v>790500</v>
      </c>
      <c r="G63" s="4">
        <v>331</v>
      </c>
      <c r="H63" s="17">
        <v>1986000</v>
      </c>
    </row>
    <row r="64" spans="1:8" s="1" customFormat="1" x14ac:dyDescent="0.25">
      <c r="A64" s="870"/>
      <c r="B64" s="870"/>
      <c r="C64" s="870"/>
      <c r="D64" s="83" t="s">
        <v>146</v>
      </c>
      <c r="E64" s="30">
        <v>60</v>
      </c>
      <c r="F64" s="37">
        <v>249000</v>
      </c>
      <c r="G64" s="4">
        <v>230</v>
      </c>
      <c r="H64" s="17">
        <v>1380000</v>
      </c>
    </row>
    <row r="65" spans="1:8" s="1" customFormat="1" x14ac:dyDescent="0.25">
      <c r="A65" s="870"/>
      <c r="B65" s="870"/>
      <c r="C65" s="870"/>
      <c r="D65" s="83" t="s">
        <v>147</v>
      </c>
      <c r="E65" s="30">
        <v>145</v>
      </c>
      <c r="F65" s="37">
        <v>615500</v>
      </c>
      <c r="G65" s="4">
        <v>310</v>
      </c>
      <c r="H65" s="17">
        <v>1860000</v>
      </c>
    </row>
    <row r="66" spans="1:8" s="1" customFormat="1" x14ac:dyDescent="0.25">
      <c r="A66" s="870"/>
      <c r="B66" s="870"/>
      <c r="C66" s="870"/>
      <c r="D66" s="83" t="s">
        <v>148</v>
      </c>
      <c r="E66" s="30">
        <v>84</v>
      </c>
      <c r="F66" s="37">
        <v>345000</v>
      </c>
      <c r="G66" s="4">
        <v>229</v>
      </c>
      <c r="H66" s="17">
        <v>1374000</v>
      </c>
    </row>
    <row r="67" spans="1:8" s="1" customFormat="1" x14ac:dyDescent="0.25">
      <c r="A67" s="873"/>
      <c r="B67" s="873"/>
      <c r="C67" s="873"/>
      <c r="D67" s="83" t="s">
        <v>149</v>
      </c>
      <c r="E67" s="30">
        <v>89</v>
      </c>
      <c r="F67" s="37">
        <v>353500</v>
      </c>
      <c r="G67" s="4">
        <v>249</v>
      </c>
      <c r="H67" s="17">
        <v>1494000</v>
      </c>
    </row>
    <row r="68" spans="1:8" s="8" customFormat="1" ht="5.25" customHeight="1" x14ac:dyDescent="0.25">
      <c r="A68" s="7"/>
      <c r="B68" s="7"/>
      <c r="C68" s="7"/>
      <c r="D68" s="7"/>
      <c r="E68" s="7"/>
      <c r="F68" s="93"/>
      <c r="G68" s="7"/>
      <c r="H68" s="7"/>
    </row>
    <row r="69" spans="1:8" s="9" customFormat="1" ht="24" customHeight="1" x14ac:dyDescent="0.25">
      <c r="A69" s="869" t="s">
        <v>17</v>
      </c>
      <c r="B69" s="876" t="s">
        <v>56</v>
      </c>
      <c r="C69" s="869" t="s">
        <v>18</v>
      </c>
      <c r="D69" s="70" t="s">
        <v>98</v>
      </c>
      <c r="E69" s="70">
        <f>SUM(E70:E74)</f>
        <v>9</v>
      </c>
      <c r="F69" s="84">
        <f>SUM(F70:F74)</f>
        <v>37500</v>
      </c>
      <c r="G69" s="70">
        <f>SUM(G70:G74)</f>
        <v>0</v>
      </c>
      <c r="H69" s="71">
        <f>SUM(H70:H74)</f>
        <v>0</v>
      </c>
    </row>
    <row r="70" spans="1:8" s="9" customFormat="1" ht="30" customHeight="1" x14ac:dyDescent="0.25">
      <c r="A70" s="870"/>
      <c r="B70" s="877"/>
      <c r="C70" s="870"/>
      <c r="D70" s="83" t="s">
        <v>142</v>
      </c>
      <c r="E70" s="30">
        <f>1</f>
        <v>1</v>
      </c>
      <c r="F70" s="37">
        <f>1500</f>
        <v>1500</v>
      </c>
      <c r="G70" s="4"/>
      <c r="H70" s="17"/>
    </row>
    <row r="71" spans="1:8" s="1" customFormat="1" x14ac:dyDescent="0.25">
      <c r="A71" s="870"/>
      <c r="B71" s="877"/>
      <c r="C71" s="870"/>
      <c r="D71" s="83" t="s">
        <v>144</v>
      </c>
      <c r="E71" s="30">
        <f>1</f>
        <v>1</v>
      </c>
      <c r="F71" s="37">
        <f>10000</f>
        <v>10000</v>
      </c>
      <c r="G71" s="4"/>
      <c r="H71" s="17"/>
    </row>
    <row r="72" spans="1:8" s="1" customFormat="1" x14ac:dyDescent="0.25">
      <c r="A72" s="870"/>
      <c r="B72" s="877"/>
      <c r="C72" s="870"/>
      <c r="D72" s="83" t="s">
        <v>145</v>
      </c>
      <c r="E72" s="30">
        <f>2</f>
        <v>2</v>
      </c>
      <c r="F72" s="37">
        <f>20000</f>
        <v>20000</v>
      </c>
      <c r="G72" s="4"/>
      <c r="H72" s="17"/>
    </row>
    <row r="73" spans="1:8" s="1" customFormat="1" x14ac:dyDescent="0.25">
      <c r="A73" s="870"/>
      <c r="B73" s="877"/>
      <c r="C73" s="870"/>
      <c r="D73" s="83" t="s">
        <v>146</v>
      </c>
      <c r="E73" s="30">
        <f>1</f>
        <v>1</v>
      </c>
      <c r="F73" s="37">
        <f>1000</f>
        <v>1000</v>
      </c>
      <c r="G73" s="4"/>
      <c r="H73" s="17"/>
    </row>
    <row r="74" spans="1:8" s="1" customFormat="1" x14ac:dyDescent="0.25">
      <c r="A74" s="873"/>
      <c r="B74" s="878"/>
      <c r="C74" s="873"/>
      <c r="D74" s="83" t="s">
        <v>148</v>
      </c>
      <c r="E74" s="30">
        <f>2+1+1</f>
        <v>4</v>
      </c>
      <c r="F74" s="37">
        <f>2000+1500+1500</f>
        <v>5000</v>
      </c>
      <c r="G74" s="4"/>
      <c r="H74" s="17"/>
    </row>
    <row r="75" spans="1:8" s="8" customFormat="1" ht="5.25" customHeight="1" x14ac:dyDescent="0.25">
      <c r="A75" s="7"/>
      <c r="B75" s="7"/>
      <c r="C75" s="7"/>
      <c r="D75" s="7"/>
      <c r="E75" s="7"/>
      <c r="F75" s="93"/>
      <c r="G75" s="7"/>
      <c r="H75" s="7"/>
    </row>
    <row r="76" spans="1:8" s="9" customFormat="1" ht="34.5" hidden="1" customHeight="1" x14ac:dyDescent="0.25">
      <c r="A76" s="6" t="s">
        <v>22</v>
      </c>
      <c r="B76" s="831" t="s">
        <v>57</v>
      </c>
      <c r="C76" s="6" t="s">
        <v>37</v>
      </c>
      <c r="D76" s="6"/>
      <c r="E76" s="42">
        <f>SUM(E77:E82)</f>
        <v>227</v>
      </c>
      <c r="F76" s="94">
        <f>SUM(F77:F82)</f>
        <v>562960</v>
      </c>
      <c r="G76" s="6"/>
      <c r="H76" s="6"/>
    </row>
    <row r="77" spans="1:8" s="1" customFormat="1" ht="15" hidden="1" customHeight="1" x14ac:dyDescent="0.25">
      <c r="A77" s="972" t="s">
        <v>35</v>
      </c>
      <c r="B77" s="832"/>
      <c r="C77" s="5"/>
      <c r="D77" s="4" t="s">
        <v>42</v>
      </c>
      <c r="E77" s="44"/>
      <c r="F77" s="41"/>
      <c r="G77" s="5"/>
      <c r="H77" s="4" t="s">
        <v>8</v>
      </c>
    </row>
    <row r="78" spans="1:8" s="1" customFormat="1" ht="15" hidden="1" customHeight="1" x14ac:dyDescent="0.25">
      <c r="A78" s="918"/>
      <c r="B78" s="833"/>
      <c r="C78" s="5"/>
      <c r="D78" s="4" t="s">
        <v>43</v>
      </c>
      <c r="E78" s="44"/>
      <c r="F78" s="38"/>
      <c r="G78" s="5"/>
      <c r="H78" s="4" t="s">
        <v>9</v>
      </c>
    </row>
    <row r="79" spans="1:8" s="1" customFormat="1" ht="15" hidden="1" customHeight="1" x14ac:dyDescent="0.25">
      <c r="A79" s="918"/>
      <c r="B79" s="211"/>
      <c r="C79" s="5"/>
      <c r="D79" s="4" t="s">
        <v>44</v>
      </c>
      <c r="E79" s="45">
        <v>227</v>
      </c>
      <c r="F79" s="39">
        <v>562960</v>
      </c>
      <c r="G79" s="5"/>
      <c r="H79" s="4" t="s">
        <v>10</v>
      </c>
    </row>
    <row r="80" spans="1:8" s="1" customFormat="1" ht="15" hidden="1" customHeight="1" x14ac:dyDescent="0.25">
      <c r="A80" s="918"/>
      <c r="B80" s="211"/>
      <c r="C80" s="5"/>
      <c r="D80" s="4" t="s">
        <v>45</v>
      </c>
      <c r="E80" s="44"/>
      <c r="F80" s="39"/>
      <c r="G80" s="5"/>
      <c r="H80" s="4" t="s">
        <v>11</v>
      </c>
    </row>
    <row r="81" spans="1:9" s="1" customFormat="1" ht="15" hidden="1" customHeight="1" x14ac:dyDescent="0.25">
      <c r="A81" s="918"/>
      <c r="B81" s="211"/>
      <c r="C81" s="5"/>
      <c r="D81" s="4" t="s">
        <v>46</v>
      </c>
      <c r="E81" s="44"/>
      <c r="F81" s="39"/>
      <c r="G81" s="5"/>
      <c r="H81" s="4" t="s">
        <v>12</v>
      </c>
    </row>
    <row r="82" spans="1:9" s="1" customFormat="1" ht="15" hidden="1" customHeight="1" x14ac:dyDescent="0.25">
      <c r="A82" s="918"/>
      <c r="B82" s="211"/>
      <c r="C82" s="5"/>
      <c r="D82" s="4" t="s">
        <v>47</v>
      </c>
      <c r="E82" s="44"/>
      <c r="F82" s="40"/>
      <c r="G82" s="5"/>
      <c r="H82" s="4" t="s">
        <v>13</v>
      </c>
    </row>
    <row r="83" spans="1:9" s="8" customFormat="1" ht="8.25" hidden="1" customHeight="1" x14ac:dyDescent="0.25">
      <c r="A83" s="7"/>
      <c r="B83" s="7"/>
      <c r="C83" s="7"/>
      <c r="D83" s="7"/>
      <c r="E83" s="7"/>
      <c r="F83" s="93"/>
      <c r="G83" s="7"/>
      <c r="H83" s="7"/>
    </row>
    <row r="84" spans="1:9" s="9" customFormat="1" ht="24.75" customHeight="1" x14ac:dyDescent="0.25">
      <c r="A84" s="869" t="s">
        <v>23</v>
      </c>
      <c r="B84" s="831" t="s">
        <v>58</v>
      </c>
      <c r="C84" s="869" t="s">
        <v>24</v>
      </c>
      <c r="D84" s="70" t="s">
        <v>98</v>
      </c>
      <c r="E84" s="70">
        <f>SUM(E85:E90)</f>
        <v>11945</v>
      </c>
      <c r="F84" s="84">
        <f>SUM(F85:F90)</f>
        <v>2986265.5</v>
      </c>
      <c r="G84" s="70">
        <f>SUM(G85:G90)</f>
        <v>0</v>
      </c>
      <c r="H84" s="71">
        <f>SUM(H85:H90)</f>
        <v>0</v>
      </c>
      <c r="I84" s="66"/>
    </row>
    <row r="85" spans="1:9" s="9" customFormat="1" ht="23.25" customHeight="1" x14ac:dyDescent="0.25">
      <c r="A85" s="870"/>
      <c r="B85" s="832"/>
      <c r="C85" s="870"/>
      <c r="D85" s="83" t="s">
        <v>142</v>
      </c>
      <c r="E85" s="30">
        <v>3800</v>
      </c>
      <c r="F85" s="37">
        <v>950000</v>
      </c>
      <c r="G85" s="4"/>
      <c r="H85" s="17"/>
      <c r="I85" s="66"/>
    </row>
    <row r="86" spans="1:9" s="16" customFormat="1" ht="15" customHeight="1" x14ac:dyDescent="0.25">
      <c r="A86" s="870"/>
      <c r="B86" s="832"/>
      <c r="C86" s="870"/>
      <c r="D86" s="83" t="s">
        <v>144</v>
      </c>
      <c r="E86" s="30">
        <v>1500</v>
      </c>
      <c r="F86" s="37">
        <v>375000</v>
      </c>
      <c r="G86" s="4"/>
      <c r="H86" s="17"/>
    </row>
    <row r="87" spans="1:9" s="1" customFormat="1" x14ac:dyDescent="0.25">
      <c r="A87" s="870"/>
      <c r="B87" s="832"/>
      <c r="C87" s="870"/>
      <c r="D87" s="83" t="s">
        <v>145</v>
      </c>
      <c r="E87" s="30">
        <f>2000+145</f>
        <v>2145</v>
      </c>
      <c r="F87" s="37">
        <f>500000+36265.5</f>
        <v>536265.5</v>
      </c>
      <c r="G87" s="4"/>
      <c r="H87" s="17"/>
    </row>
    <row r="88" spans="1:9" s="1" customFormat="1" x14ac:dyDescent="0.25">
      <c r="A88" s="870"/>
      <c r="B88" s="832"/>
      <c r="C88" s="870"/>
      <c r="D88" s="83" t="s">
        <v>148</v>
      </c>
      <c r="E88" s="30">
        <v>1000</v>
      </c>
      <c r="F88" s="37">
        <v>250000</v>
      </c>
      <c r="G88" s="4"/>
      <c r="H88" s="17"/>
    </row>
    <row r="89" spans="1:9" s="1" customFormat="1" x14ac:dyDescent="0.25">
      <c r="A89" s="870"/>
      <c r="B89" s="832"/>
      <c r="C89" s="870"/>
      <c r="D89" s="83" t="s">
        <v>214</v>
      </c>
      <c r="E89" s="30">
        <v>1500</v>
      </c>
      <c r="F89" s="37">
        <v>375000</v>
      </c>
      <c r="G89" s="4"/>
      <c r="H89" s="17"/>
    </row>
    <row r="90" spans="1:9" s="1" customFormat="1" x14ac:dyDescent="0.25">
      <c r="A90" s="873"/>
      <c r="B90" s="833"/>
      <c r="C90" s="873"/>
      <c r="D90" s="83" t="s">
        <v>215</v>
      </c>
      <c r="E90" s="30">
        <v>2000</v>
      </c>
      <c r="F90" s="37">
        <v>500000</v>
      </c>
      <c r="G90" s="4"/>
      <c r="H90" s="17"/>
    </row>
    <row r="91" spans="1:9" s="8" customFormat="1" ht="6" hidden="1" customHeight="1" x14ac:dyDescent="0.25">
      <c r="A91" s="7"/>
      <c r="B91" s="7"/>
      <c r="C91" s="7"/>
      <c r="D91" s="7"/>
      <c r="E91" s="7"/>
      <c r="F91" s="93"/>
      <c r="G91" s="7"/>
      <c r="H91" s="7"/>
    </row>
    <row r="92" spans="1:9" s="9" customFormat="1" ht="30" hidden="1" customHeight="1" x14ac:dyDescent="0.25">
      <c r="A92" s="214" t="s">
        <v>63</v>
      </c>
      <c r="B92" s="831" t="s">
        <v>64</v>
      </c>
      <c r="C92" s="6" t="s">
        <v>65</v>
      </c>
      <c r="D92" s="155" t="s">
        <v>81</v>
      </c>
      <c r="E92" s="161" t="e">
        <f>SUM(#REF!)</f>
        <v>#REF!</v>
      </c>
      <c r="F92" s="158" t="e">
        <f>SUM(#REF!)</f>
        <v>#REF!</v>
      </c>
      <c r="G92" s="63" t="e">
        <f>#REF!+#REF!</f>
        <v>#REF!</v>
      </c>
      <c r="H92" s="78" t="e">
        <f>#REF!+#REF!</f>
        <v>#REF!</v>
      </c>
    </row>
    <row r="93" spans="1:9" s="9" customFormat="1" ht="30" hidden="1" customHeight="1" x14ac:dyDescent="0.25">
      <c r="A93" s="214"/>
      <c r="B93" s="879"/>
      <c r="C93" s="6"/>
      <c r="D93" s="70" t="s">
        <v>79</v>
      </c>
      <c r="E93" s="64"/>
      <c r="F93" s="95"/>
      <c r="G93" s="63">
        <f>SUM(G94:G102)</f>
        <v>0</v>
      </c>
      <c r="H93" s="78">
        <f>SUM(H94:H102)</f>
        <v>0</v>
      </c>
    </row>
    <row r="94" spans="1:9" s="16" customFormat="1" ht="15" hidden="1" customHeight="1" x14ac:dyDescent="0.25">
      <c r="A94" s="869"/>
      <c r="B94" s="879"/>
      <c r="C94" s="6"/>
      <c r="D94" s="83" t="s">
        <v>118</v>
      </c>
      <c r="E94" s="44"/>
      <c r="F94" s="41"/>
      <c r="G94" s="15"/>
      <c r="H94" s="53"/>
    </row>
    <row r="95" spans="1:9" s="1" customFormat="1" ht="15" hidden="1" customHeight="1" x14ac:dyDescent="0.25">
      <c r="A95" s="870"/>
      <c r="B95" s="879"/>
      <c r="C95" s="6"/>
      <c r="D95" s="83" t="s">
        <v>119</v>
      </c>
      <c r="E95" s="44"/>
      <c r="F95" s="38"/>
      <c r="G95" s="20"/>
      <c r="H95" s="17"/>
    </row>
    <row r="96" spans="1:9" s="1" customFormat="1" ht="15" hidden="1" customHeight="1" x14ac:dyDescent="0.25">
      <c r="A96" s="55"/>
      <c r="B96" s="879"/>
      <c r="C96" s="6"/>
      <c r="D96" s="83" t="s">
        <v>120</v>
      </c>
      <c r="E96" s="44"/>
      <c r="F96" s="39"/>
      <c r="G96" s="20"/>
      <c r="H96" s="17"/>
    </row>
    <row r="97" spans="1:8" s="1" customFormat="1" ht="15" hidden="1" customHeight="1" x14ac:dyDescent="0.25">
      <c r="A97" s="55"/>
      <c r="B97" s="879"/>
      <c r="C97" s="6"/>
      <c r="D97" s="83" t="s">
        <v>121</v>
      </c>
      <c r="E97" s="44"/>
      <c r="F97" s="39"/>
      <c r="G97" s="20"/>
      <c r="H97" s="17"/>
    </row>
    <row r="98" spans="1:8" s="1" customFormat="1" ht="15" hidden="1" customHeight="1" x14ac:dyDescent="0.25">
      <c r="A98" s="55"/>
      <c r="B98" s="879"/>
      <c r="C98" s="6"/>
      <c r="D98" s="83" t="s">
        <v>122</v>
      </c>
      <c r="E98" s="44"/>
      <c r="F98" s="39"/>
      <c r="G98" s="20"/>
      <c r="H98" s="17"/>
    </row>
    <row r="99" spans="1:8" s="1" customFormat="1" ht="15" hidden="1" customHeight="1" x14ac:dyDescent="0.25">
      <c r="A99" s="55"/>
      <c r="B99" s="879"/>
      <c r="C99" s="6"/>
      <c r="D99" s="83" t="s">
        <v>123</v>
      </c>
      <c r="E99" s="44"/>
      <c r="F99" s="40"/>
      <c r="G99" s="20"/>
      <c r="H99" s="17"/>
    </row>
    <row r="100" spans="1:8" s="1" customFormat="1" ht="15" hidden="1" customHeight="1" x14ac:dyDescent="0.25">
      <c r="A100" s="55"/>
      <c r="B100" s="879"/>
      <c r="C100" s="6"/>
      <c r="D100" s="83" t="s">
        <v>124</v>
      </c>
      <c r="E100" s="44"/>
      <c r="F100" s="40"/>
      <c r="G100" s="20"/>
      <c r="H100" s="17"/>
    </row>
    <row r="101" spans="1:8" s="1" customFormat="1" ht="15" hidden="1" customHeight="1" x14ac:dyDescent="0.25">
      <c r="A101" s="55"/>
      <c r="B101" s="879"/>
      <c r="C101" s="6"/>
      <c r="D101" s="83" t="s">
        <v>125</v>
      </c>
      <c r="E101" s="44"/>
      <c r="F101" s="40"/>
      <c r="G101" s="20"/>
      <c r="H101" s="17"/>
    </row>
    <row r="102" spans="1:8" s="1" customFormat="1" ht="15" hidden="1" customHeight="1" x14ac:dyDescent="0.25">
      <c r="A102" s="55"/>
      <c r="B102" s="879"/>
      <c r="C102" s="6"/>
      <c r="D102" s="83" t="s">
        <v>126</v>
      </c>
      <c r="E102" s="44"/>
      <c r="F102" s="40"/>
      <c r="G102" s="20"/>
      <c r="H102" s="17"/>
    </row>
    <row r="103" spans="1:8" s="2" customFormat="1" ht="24" hidden="1" customHeight="1" x14ac:dyDescent="0.25">
      <c r="A103" s="211"/>
      <c r="B103" s="879"/>
      <c r="C103" s="6"/>
      <c r="D103" s="70" t="s">
        <v>80</v>
      </c>
      <c r="E103" s="70">
        <f>SUM(E104:E111)</f>
        <v>0</v>
      </c>
      <c r="F103" s="84">
        <f>SUM(F104:F111)</f>
        <v>0</v>
      </c>
      <c r="G103" s="70">
        <f>SUM(G104:G111)</f>
        <v>0</v>
      </c>
      <c r="H103" s="71">
        <f>SUM(H104:H111)</f>
        <v>0</v>
      </c>
    </row>
    <row r="104" spans="1:8" s="2" customFormat="1" ht="14.25" hidden="1" customHeight="1" x14ac:dyDescent="0.25">
      <c r="A104" s="211"/>
      <c r="B104" s="879"/>
      <c r="C104" s="6"/>
      <c r="D104" s="83" t="s">
        <v>127</v>
      </c>
      <c r="E104" s="30"/>
      <c r="F104" s="37"/>
      <c r="G104" s="4"/>
      <c r="H104" s="17"/>
    </row>
    <row r="105" spans="1:8" s="2" customFormat="1" ht="14.25" hidden="1" customHeight="1" x14ac:dyDescent="0.25">
      <c r="A105" s="211"/>
      <c r="B105" s="879"/>
      <c r="C105" s="6"/>
      <c r="D105" s="83" t="s">
        <v>128</v>
      </c>
      <c r="E105" s="30"/>
      <c r="F105" s="37"/>
      <c r="G105" s="4"/>
      <c r="H105" s="17"/>
    </row>
    <row r="106" spans="1:8" s="2" customFormat="1" ht="14.25" hidden="1" customHeight="1" x14ac:dyDescent="0.25">
      <c r="A106" s="211"/>
      <c r="B106" s="879"/>
      <c r="C106" s="6"/>
      <c r="D106" s="83" t="s">
        <v>129</v>
      </c>
      <c r="E106" s="30"/>
      <c r="F106" s="37"/>
      <c r="G106" s="4"/>
      <c r="H106" s="17"/>
    </row>
    <row r="107" spans="1:8" s="2" customFormat="1" ht="14.25" hidden="1" customHeight="1" x14ac:dyDescent="0.25">
      <c r="A107" s="211"/>
      <c r="B107" s="879"/>
      <c r="C107" s="6"/>
      <c r="D107" s="83" t="s">
        <v>130</v>
      </c>
      <c r="E107" s="30"/>
      <c r="F107" s="37"/>
      <c r="G107" s="4"/>
      <c r="H107" s="17"/>
    </row>
    <row r="108" spans="1:8" s="2" customFormat="1" ht="14.25" hidden="1" customHeight="1" x14ac:dyDescent="0.25">
      <c r="A108" s="211"/>
      <c r="B108" s="879"/>
      <c r="C108" s="6"/>
      <c r="D108" s="83" t="s">
        <v>131</v>
      </c>
      <c r="E108" s="30"/>
      <c r="F108" s="37"/>
      <c r="G108" s="4"/>
      <c r="H108" s="17"/>
    </row>
    <row r="109" spans="1:8" s="2" customFormat="1" ht="14.25" hidden="1" customHeight="1" x14ac:dyDescent="0.25">
      <c r="A109" s="211"/>
      <c r="B109" s="879"/>
      <c r="C109" s="6"/>
      <c r="D109" s="83" t="s">
        <v>132</v>
      </c>
      <c r="E109" s="30"/>
      <c r="F109" s="37"/>
      <c r="G109" s="4"/>
      <c r="H109" s="17"/>
    </row>
    <row r="110" spans="1:8" s="2" customFormat="1" ht="14.25" hidden="1" customHeight="1" x14ac:dyDescent="0.25">
      <c r="A110" s="211"/>
      <c r="B110" s="879"/>
      <c r="C110" s="6"/>
      <c r="D110" s="83" t="s">
        <v>133</v>
      </c>
      <c r="E110" s="30"/>
      <c r="F110" s="37"/>
      <c r="G110" s="4"/>
      <c r="H110" s="17"/>
    </row>
    <row r="111" spans="1:8" s="2" customFormat="1" ht="14.25" hidden="1" customHeight="1" x14ac:dyDescent="0.25">
      <c r="A111" s="211"/>
      <c r="B111" s="879"/>
      <c r="C111" s="6"/>
      <c r="D111" s="83" t="s">
        <v>134</v>
      </c>
      <c r="E111" s="30"/>
      <c r="F111" s="37"/>
      <c r="G111" s="4"/>
      <c r="H111" s="17"/>
    </row>
    <row r="112" spans="1:8" s="2" customFormat="1" ht="24" hidden="1" customHeight="1" x14ac:dyDescent="0.25">
      <c r="A112" s="211"/>
      <c r="B112" s="879"/>
      <c r="C112" s="6"/>
      <c r="D112" s="70" t="s">
        <v>97</v>
      </c>
      <c r="E112" s="70">
        <f>SUM(E113:E119)</f>
        <v>0</v>
      </c>
      <c r="F112" s="84">
        <f>SUM(F113:F119)</f>
        <v>0</v>
      </c>
      <c r="G112" s="70">
        <f>SUM(G113:G119)</f>
        <v>0</v>
      </c>
      <c r="H112" s="71">
        <f>SUM(H113:H119)</f>
        <v>0</v>
      </c>
    </row>
    <row r="113" spans="1:8" s="2" customFormat="1" ht="14.25" hidden="1" customHeight="1" x14ac:dyDescent="0.25">
      <c r="A113" s="211"/>
      <c r="B113" s="879"/>
      <c r="C113" s="6"/>
      <c r="D113" s="83" t="s">
        <v>135</v>
      </c>
      <c r="E113" s="30"/>
      <c r="F113" s="37"/>
      <c r="G113" s="4"/>
      <c r="H113" s="17"/>
    </row>
    <row r="114" spans="1:8" s="2" customFormat="1" ht="14.25" hidden="1" customHeight="1" x14ac:dyDescent="0.25">
      <c r="A114" s="211"/>
      <c r="B114" s="879"/>
      <c r="C114" s="6"/>
      <c r="D114" s="83" t="s">
        <v>136</v>
      </c>
      <c r="E114" s="30"/>
      <c r="F114" s="37"/>
      <c r="G114" s="4"/>
      <c r="H114" s="17"/>
    </row>
    <row r="115" spans="1:8" s="2" customFormat="1" ht="14.25" hidden="1" customHeight="1" x14ac:dyDescent="0.25">
      <c r="A115" s="211"/>
      <c r="B115" s="879"/>
      <c r="C115" s="6"/>
      <c r="D115" s="83" t="s">
        <v>137</v>
      </c>
      <c r="E115" s="30"/>
      <c r="F115" s="37"/>
      <c r="G115" s="4"/>
      <c r="H115" s="17"/>
    </row>
    <row r="116" spans="1:8" s="2" customFormat="1" ht="14.25" hidden="1" customHeight="1" x14ac:dyDescent="0.25">
      <c r="A116" s="211"/>
      <c r="B116" s="879"/>
      <c r="C116" s="6"/>
      <c r="D116" s="83" t="s">
        <v>138</v>
      </c>
      <c r="E116" s="30"/>
      <c r="F116" s="37"/>
      <c r="G116" s="4"/>
      <c r="H116" s="17"/>
    </row>
    <row r="117" spans="1:8" s="2" customFormat="1" ht="14.25" hidden="1" customHeight="1" x14ac:dyDescent="0.25">
      <c r="A117" s="211"/>
      <c r="B117" s="879"/>
      <c r="C117" s="6"/>
      <c r="D117" s="83" t="s">
        <v>139</v>
      </c>
      <c r="E117" s="30"/>
      <c r="F117" s="37"/>
      <c r="G117" s="4"/>
      <c r="H117" s="17"/>
    </row>
    <row r="118" spans="1:8" s="2" customFormat="1" ht="14.25" hidden="1" customHeight="1" x14ac:dyDescent="0.25">
      <c r="A118" s="211"/>
      <c r="B118" s="879"/>
      <c r="C118" s="6"/>
      <c r="D118" s="83" t="s">
        <v>140</v>
      </c>
      <c r="E118" s="30"/>
      <c r="F118" s="37"/>
      <c r="G118" s="4"/>
      <c r="H118" s="17"/>
    </row>
    <row r="119" spans="1:8" s="2" customFormat="1" ht="14.25" hidden="1" customHeight="1" x14ac:dyDescent="0.25">
      <c r="A119" s="211"/>
      <c r="B119" s="879"/>
      <c r="C119" s="6"/>
      <c r="D119" s="83" t="s">
        <v>141</v>
      </c>
      <c r="E119" s="30"/>
      <c r="F119" s="37"/>
      <c r="G119" s="4"/>
      <c r="H119" s="17"/>
    </row>
    <row r="120" spans="1:8" s="2" customFormat="1" ht="24" hidden="1" customHeight="1" x14ac:dyDescent="0.25">
      <c r="A120" s="211"/>
      <c r="B120" s="879"/>
      <c r="C120" s="6"/>
      <c r="D120" s="70" t="s">
        <v>98</v>
      </c>
      <c r="E120" s="70">
        <f>SUM(E121:E128)</f>
        <v>0</v>
      </c>
      <c r="F120" s="84">
        <f>SUM(F121:F128)</f>
        <v>0</v>
      </c>
      <c r="G120" s="70">
        <f>SUM(G121:G128)</f>
        <v>0</v>
      </c>
      <c r="H120" s="71">
        <f>SUM(H121:H128)</f>
        <v>0</v>
      </c>
    </row>
    <row r="121" spans="1:8" s="2" customFormat="1" ht="14.25" hidden="1" customHeight="1" x14ac:dyDescent="0.25">
      <c r="A121" s="211"/>
      <c r="B121" s="879"/>
      <c r="C121" s="6"/>
      <c r="D121" s="83" t="s">
        <v>142</v>
      </c>
      <c r="E121" s="30"/>
      <c r="F121" s="37"/>
      <c r="G121" s="4"/>
      <c r="H121" s="17"/>
    </row>
    <row r="122" spans="1:8" s="2" customFormat="1" ht="14.25" hidden="1" customHeight="1" x14ac:dyDescent="0.25">
      <c r="A122" s="211"/>
      <c r="B122" s="879"/>
      <c r="C122" s="6"/>
      <c r="D122" s="83" t="s">
        <v>143</v>
      </c>
      <c r="E122" s="30"/>
      <c r="F122" s="37"/>
      <c r="G122" s="4"/>
      <c r="H122" s="17"/>
    </row>
    <row r="123" spans="1:8" s="2" customFormat="1" ht="14.25" hidden="1" customHeight="1" x14ac:dyDescent="0.25">
      <c r="A123" s="211"/>
      <c r="B123" s="879"/>
      <c r="C123" s="6"/>
      <c r="D123" s="83" t="s">
        <v>144</v>
      </c>
      <c r="E123" s="30"/>
      <c r="F123" s="37"/>
      <c r="G123" s="4"/>
      <c r="H123" s="17"/>
    </row>
    <row r="124" spans="1:8" s="2" customFormat="1" ht="14.25" hidden="1" customHeight="1" x14ac:dyDescent="0.25">
      <c r="A124" s="211"/>
      <c r="B124" s="879"/>
      <c r="C124" s="6"/>
      <c r="D124" s="83" t="s">
        <v>145</v>
      </c>
      <c r="E124" s="30"/>
      <c r="F124" s="37"/>
      <c r="G124" s="4"/>
      <c r="H124" s="17"/>
    </row>
    <row r="125" spans="1:8" s="2" customFormat="1" ht="14.25" hidden="1" customHeight="1" x14ac:dyDescent="0.25">
      <c r="A125" s="211"/>
      <c r="B125" s="879"/>
      <c r="C125" s="6"/>
      <c r="D125" s="83" t="s">
        <v>146</v>
      </c>
      <c r="E125" s="30"/>
      <c r="F125" s="37"/>
      <c r="G125" s="4"/>
      <c r="H125" s="17"/>
    </row>
    <row r="126" spans="1:8" s="2" customFormat="1" ht="14.25" hidden="1" customHeight="1" x14ac:dyDescent="0.25">
      <c r="A126" s="211"/>
      <c r="B126" s="879"/>
      <c r="C126" s="6"/>
      <c r="D126" s="83" t="s">
        <v>147</v>
      </c>
      <c r="E126" s="30"/>
      <c r="F126" s="37"/>
      <c r="G126" s="4"/>
      <c r="H126" s="17"/>
    </row>
    <row r="127" spans="1:8" s="2" customFormat="1" ht="14.25" hidden="1" customHeight="1" x14ac:dyDescent="0.25">
      <c r="A127" s="211"/>
      <c r="B127" s="879"/>
      <c r="C127" s="6"/>
      <c r="D127" s="83" t="s">
        <v>148</v>
      </c>
      <c r="E127" s="30"/>
      <c r="F127" s="37"/>
      <c r="G127" s="4"/>
      <c r="H127" s="17"/>
    </row>
    <row r="128" spans="1:8" s="2" customFormat="1" ht="14.25" hidden="1" customHeight="1" x14ac:dyDescent="0.25">
      <c r="A128" s="211"/>
      <c r="B128" s="879"/>
      <c r="C128" s="214"/>
      <c r="D128" s="86" t="s">
        <v>149</v>
      </c>
      <c r="E128" s="225"/>
      <c r="F128" s="226"/>
      <c r="G128" s="220"/>
      <c r="H128" s="145"/>
    </row>
    <row r="129" spans="1:8" s="123" customFormat="1" ht="5.25" customHeight="1" x14ac:dyDescent="0.25">
      <c r="F129" s="174"/>
    </row>
    <row r="130" spans="1:8" s="123" customFormat="1" ht="5.25" customHeight="1" x14ac:dyDescent="0.25">
      <c r="F130" s="174"/>
    </row>
    <row r="131" spans="1:8" s="123" customFormat="1" ht="5.25" customHeight="1" x14ac:dyDescent="0.25">
      <c r="F131" s="174"/>
    </row>
    <row r="132" spans="1:8" s="123" customFormat="1" ht="5.25" customHeight="1" x14ac:dyDescent="0.25">
      <c r="F132" s="174"/>
    </row>
    <row r="133" spans="1:8" s="123" customFormat="1" ht="5.25" customHeight="1" x14ac:dyDescent="0.25">
      <c r="F133" s="174"/>
    </row>
    <row r="134" spans="1:8" s="123" customFormat="1" ht="5.25" customHeight="1" x14ac:dyDescent="0.25">
      <c r="F134" s="174"/>
    </row>
    <row r="135" spans="1:8" s="123" customFormat="1" ht="5.25" customHeight="1" x14ac:dyDescent="0.25">
      <c r="F135" s="174"/>
    </row>
    <row r="136" spans="1:8" s="123" customFormat="1" ht="5.25" customHeight="1" x14ac:dyDescent="0.25">
      <c r="F136" s="174"/>
    </row>
    <row r="137" spans="1:8" s="123" customFormat="1" ht="5.25" customHeight="1" x14ac:dyDescent="0.25">
      <c r="F137" s="174"/>
    </row>
    <row r="138" spans="1:8" s="123" customFormat="1" ht="5.25" customHeight="1" x14ac:dyDescent="0.25">
      <c r="F138" s="174"/>
    </row>
    <row r="139" spans="1:8" s="9" customFormat="1" ht="24.75" customHeight="1" x14ac:dyDescent="0.25">
      <c r="A139" s="869" t="s">
        <v>67</v>
      </c>
      <c r="B139" s="867" t="s">
        <v>68</v>
      </c>
      <c r="C139" s="869" t="s">
        <v>65</v>
      </c>
      <c r="D139" s="70" t="s">
        <v>98</v>
      </c>
      <c r="E139" s="70">
        <f>SUM(E140:E145)</f>
        <v>4405</v>
      </c>
      <c r="F139" s="84">
        <f>SUM(F140:F145)</f>
        <v>1139820.24</v>
      </c>
      <c r="G139" s="70">
        <f>SUM(G140:G145)</f>
        <v>0</v>
      </c>
      <c r="H139" s="71">
        <f>SUM(H140:H145)</f>
        <v>0</v>
      </c>
    </row>
    <row r="140" spans="1:8" s="16" customFormat="1" ht="15" customHeight="1" x14ac:dyDescent="0.25">
      <c r="A140" s="870"/>
      <c r="B140" s="868"/>
      <c r="C140" s="870"/>
      <c r="D140" s="83" t="s">
        <v>143</v>
      </c>
      <c r="E140" s="30">
        <f>279+400</f>
        <v>679</v>
      </c>
      <c r="F140" s="37">
        <f>69052+100000</f>
        <v>169052</v>
      </c>
      <c r="G140" s="4"/>
      <c r="H140" s="17"/>
    </row>
    <row r="141" spans="1:8" s="1" customFormat="1" x14ac:dyDescent="0.25">
      <c r="A141" s="870"/>
      <c r="B141" s="868"/>
      <c r="C141" s="870"/>
      <c r="D141" s="83" t="s">
        <v>144</v>
      </c>
      <c r="E141" s="30">
        <f>263+500</f>
        <v>763</v>
      </c>
      <c r="F141" s="37">
        <f>65092.5+125000</f>
        <v>190092.5</v>
      </c>
      <c r="G141" s="4"/>
      <c r="H141" s="17"/>
    </row>
    <row r="142" spans="1:8" s="1" customFormat="1" x14ac:dyDescent="0.25">
      <c r="A142" s="870"/>
      <c r="B142" s="868"/>
      <c r="C142" s="870"/>
      <c r="D142" s="83" t="s">
        <v>145</v>
      </c>
      <c r="E142" s="30">
        <f>900</f>
        <v>900</v>
      </c>
      <c r="F142" s="37">
        <f>225000</f>
        <v>225000</v>
      </c>
      <c r="G142" s="4"/>
      <c r="H142" s="17"/>
    </row>
    <row r="143" spans="1:8" s="1" customFormat="1" x14ac:dyDescent="0.25">
      <c r="A143" s="870"/>
      <c r="B143" s="868"/>
      <c r="C143" s="870"/>
      <c r="D143" s="83" t="s">
        <v>146</v>
      </c>
      <c r="E143" s="30">
        <f>293+500</f>
        <v>793</v>
      </c>
      <c r="F143" s="37">
        <f>72517.5+125000</f>
        <v>197517.5</v>
      </c>
      <c r="G143" s="4"/>
      <c r="H143" s="17"/>
    </row>
    <row r="144" spans="1:8" s="1" customFormat="1" x14ac:dyDescent="0.25">
      <c r="A144" s="870"/>
      <c r="B144" s="868"/>
      <c r="C144" s="870"/>
      <c r="D144" s="83" t="s">
        <v>147</v>
      </c>
      <c r="E144" s="30">
        <f>670</f>
        <v>670</v>
      </c>
      <c r="F144" s="37">
        <f>208158.24</f>
        <v>208158.24</v>
      </c>
      <c r="G144" s="4"/>
      <c r="H144" s="17"/>
    </row>
    <row r="145" spans="1:8" s="1" customFormat="1" x14ac:dyDescent="0.25">
      <c r="A145" s="873"/>
      <c r="B145" s="874"/>
      <c r="C145" s="873"/>
      <c r="D145" s="83" t="s">
        <v>149</v>
      </c>
      <c r="E145" s="30">
        <f>600</f>
        <v>600</v>
      </c>
      <c r="F145" s="37">
        <f>150000</f>
        <v>150000</v>
      </c>
      <c r="G145" s="4"/>
      <c r="H145" s="17"/>
    </row>
    <row r="146" spans="1:8" x14ac:dyDescent="0.25">
      <c r="A146" t="s">
        <v>26</v>
      </c>
      <c r="B146" t="s">
        <v>28</v>
      </c>
      <c r="D146" t="s">
        <v>31</v>
      </c>
      <c r="F146"/>
    </row>
    <row r="147" spans="1:8" x14ac:dyDescent="0.25">
      <c r="F147"/>
    </row>
    <row r="148" spans="1:8" x14ac:dyDescent="0.25">
      <c r="F148"/>
    </row>
    <row r="149" spans="1:8" x14ac:dyDescent="0.25">
      <c r="F149"/>
    </row>
    <row r="150" spans="1:8" x14ac:dyDescent="0.25">
      <c r="A150" t="s">
        <v>27</v>
      </c>
      <c r="B150" t="s">
        <v>29</v>
      </c>
      <c r="D150" t="s">
        <v>32</v>
      </c>
      <c r="F150"/>
    </row>
    <row r="151" spans="1:8" x14ac:dyDescent="0.25">
      <c r="A151" t="s">
        <v>223</v>
      </c>
      <c r="B151" t="s">
        <v>30</v>
      </c>
      <c r="D151" t="s">
        <v>33</v>
      </c>
      <c r="F151"/>
    </row>
  </sheetData>
  <mergeCells count="39">
    <mergeCell ref="C84:C90"/>
    <mergeCell ref="A139:A145"/>
    <mergeCell ref="B139:B145"/>
    <mergeCell ref="C139:C145"/>
    <mergeCell ref="B92:B128"/>
    <mergeCell ref="A94:A95"/>
    <mergeCell ref="C59:C67"/>
    <mergeCell ref="A69:A74"/>
    <mergeCell ref="B69:B74"/>
    <mergeCell ref="C21:C25"/>
    <mergeCell ref="A27:A35"/>
    <mergeCell ref="B27:B35"/>
    <mergeCell ref="C27:C35"/>
    <mergeCell ref="A49:A57"/>
    <mergeCell ref="B49:B57"/>
    <mergeCell ref="C49:C57"/>
    <mergeCell ref="C69:C74"/>
    <mergeCell ref="B76:B78"/>
    <mergeCell ref="A77:A82"/>
    <mergeCell ref="B84:B90"/>
    <mergeCell ref="A59:A67"/>
    <mergeCell ref="B59:B67"/>
    <mergeCell ref="A84:A90"/>
    <mergeCell ref="G7:H7"/>
    <mergeCell ref="B11:B19"/>
    <mergeCell ref="B21:B25"/>
    <mergeCell ref="A21:A25"/>
    <mergeCell ref="A1:H1"/>
    <mergeCell ref="A2:H2"/>
    <mergeCell ref="A4:H4"/>
    <mergeCell ref="A5:H5"/>
    <mergeCell ref="A7:A8"/>
    <mergeCell ref="B7:B8"/>
    <mergeCell ref="C7:C8"/>
    <mergeCell ref="D7:D8"/>
    <mergeCell ref="E7:E8"/>
    <mergeCell ref="F7:F8"/>
    <mergeCell ref="A11:A19"/>
    <mergeCell ref="C11:C19"/>
  </mergeCells>
  <printOptions horizontalCentered="1"/>
  <pageMargins left="0.23" right="0.64" top="0.68" bottom="0.69" header="0.3" footer="0.4"/>
  <pageSetup paperSize="9" scale="80" orientation="landscape" verticalDpi="300" r:id="rId1"/>
  <headerFooter>
    <oddFooter>&amp;L4th District of Nueva Ecija&amp;CPage &amp;P of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workbookViewId="0">
      <selection activeCell="A6" sqref="A6:F12"/>
    </sheetView>
  </sheetViews>
  <sheetFormatPr defaultRowHeight="15" x14ac:dyDescent="0.25"/>
  <cols>
    <col min="1" max="1" width="30.85546875" customWidth="1"/>
    <col min="2" max="2" width="42" customWidth="1"/>
    <col min="3" max="3" width="15.140625" customWidth="1"/>
    <col min="4" max="4" width="20" customWidth="1"/>
    <col min="5" max="5" width="10.85546875" customWidth="1"/>
    <col min="6" max="6" width="18.570312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235</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92">
        <f>F11+F16+F20+F25+F42+F47+F60+F94</f>
        <v>50434197.240000002</v>
      </c>
      <c r="G9" s="11"/>
      <c r="H9" s="92">
        <f>H11+H16+H20+H25+H42+H47+H60+H94</f>
        <v>124418760</v>
      </c>
    </row>
    <row r="10" spans="1:8" s="8" customFormat="1" ht="5.25" customHeight="1" x14ac:dyDescent="0.25">
      <c r="A10" s="7"/>
      <c r="B10" s="7"/>
      <c r="C10" s="7"/>
      <c r="D10" s="7"/>
      <c r="E10" s="7"/>
      <c r="F10" s="93"/>
      <c r="G10" s="7"/>
      <c r="H10" s="7"/>
    </row>
    <row r="11" spans="1:8" s="3" customFormat="1" ht="21.75" customHeight="1" x14ac:dyDescent="0.25">
      <c r="A11" s="869" t="s">
        <v>5</v>
      </c>
      <c r="B11" s="831" t="s">
        <v>50</v>
      </c>
      <c r="C11" s="871" t="s">
        <v>21</v>
      </c>
      <c r="D11" s="70" t="s">
        <v>79</v>
      </c>
      <c r="E11" s="70">
        <f>SUM(E12:E14)</f>
        <v>6612</v>
      </c>
      <c r="F11" s="84">
        <f>SUM(F12:F14)</f>
        <v>43014300</v>
      </c>
      <c r="G11" s="70">
        <f>SUM(G12:G14)</f>
        <v>6826</v>
      </c>
      <c r="H11" s="71">
        <f>SUM(H12:H14)</f>
        <v>102390000</v>
      </c>
    </row>
    <row r="12" spans="1:8" s="3" customFormat="1" ht="18" customHeight="1" x14ac:dyDescent="0.25">
      <c r="A12" s="870"/>
      <c r="B12" s="832"/>
      <c r="C12" s="872"/>
      <c r="D12" s="83" t="s">
        <v>150</v>
      </c>
      <c r="E12" s="30">
        <v>2958</v>
      </c>
      <c r="F12" s="37">
        <v>19160300</v>
      </c>
      <c r="G12" s="4">
        <v>3029</v>
      </c>
      <c r="H12" s="17">
        <v>45435000</v>
      </c>
    </row>
    <row r="13" spans="1:8" s="2" customFormat="1" ht="14.25" customHeight="1" x14ac:dyDescent="0.25">
      <c r="A13" s="870"/>
      <c r="B13" s="832"/>
      <c r="C13" s="872"/>
      <c r="D13" s="83" t="s">
        <v>151</v>
      </c>
      <c r="E13" s="30">
        <v>1869</v>
      </c>
      <c r="F13" s="37">
        <v>12478200</v>
      </c>
      <c r="G13" s="4">
        <v>1924</v>
      </c>
      <c r="H13" s="17">
        <v>28860000</v>
      </c>
    </row>
    <row r="14" spans="1:8" s="2" customFormat="1" ht="66" customHeight="1" x14ac:dyDescent="0.25">
      <c r="A14" s="870"/>
      <c r="B14" s="832"/>
      <c r="C14" s="872"/>
      <c r="D14" s="195" t="s">
        <v>152</v>
      </c>
      <c r="E14" s="233">
        <v>1785</v>
      </c>
      <c r="F14" s="234">
        <v>11375800</v>
      </c>
      <c r="G14" s="196">
        <v>1873</v>
      </c>
      <c r="H14" s="197">
        <v>28095000</v>
      </c>
    </row>
    <row r="15" spans="1:8" s="8" customFormat="1" ht="5.25" customHeight="1" x14ac:dyDescent="0.25">
      <c r="A15" s="122"/>
      <c r="B15" s="122"/>
      <c r="C15" s="122"/>
      <c r="D15" s="122"/>
      <c r="E15" s="122"/>
      <c r="F15" s="173"/>
      <c r="G15" s="122"/>
      <c r="H15" s="122"/>
    </row>
    <row r="16" spans="1:8" s="9" customFormat="1" ht="21.75" customHeight="1" x14ac:dyDescent="0.25">
      <c r="A16" s="870" t="s">
        <v>61</v>
      </c>
      <c r="B16" s="831" t="s">
        <v>62</v>
      </c>
      <c r="C16" s="872" t="s">
        <v>21</v>
      </c>
      <c r="D16" s="70" t="s">
        <v>79</v>
      </c>
      <c r="E16" s="70">
        <f>SUM(E17:E18)</f>
        <v>203</v>
      </c>
      <c r="F16" s="84">
        <f>SUM(F17:F18)</f>
        <v>1136800</v>
      </c>
      <c r="G16" s="70">
        <f>SUM(G17:G18)</f>
        <v>0</v>
      </c>
      <c r="H16" s="71">
        <f>SUM(H17:H18)</f>
        <v>0</v>
      </c>
    </row>
    <row r="17" spans="1:8" s="3" customFormat="1" ht="21" customHeight="1" x14ac:dyDescent="0.25">
      <c r="A17" s="870"/>
      <c r="B17" s="832"/>
      <c r="C17" s="872"/>
      <c r="D17" s="83" t="s">
        <v>150</v>
      </c>
      <c r="E17" s="30">
        <v>140</v>
      </c>
      <c r="F17" s="37">
        <v>821300</v>
      </c>
      <c r="G17" s="4"/>
      <c r="H17" s="17"/>
    </row>
    <row r="18" spans="1:8" s="2" customFormat="1" ht="54" customHeight="1" x14ac:dyDescent="0.25">
      <c r="A18" s="870"/>
      <c r="B18" s="832"/>
      <c r="C18" s="872"/>
      <c r="D18" s="195" t="s">
        <v>151</v>
      </c>
      <c r="E18" s="233">
        <v>63</v>
      </c>
      <c r="F18" s="234">
        <v>315500</v>
      </c>
      <c r="G18" s="196"/>
      <c r="H18" s="197"/>
    </row>
    <row r="19" spans="1:8" s="8" customFormat="1" ht="5.25" customHeight="1" x14ac:dyDescent="0.25">
      <c r="A19" s="7"/>
      <c r="B19" s="7"/>
      <c r="C19" s="7"/>
      <c r="D19" s="7"/>
      <c r="E19" s="7"/>
      <c r="F19" s="93"/>
      <c r="G19" s="7"/>
      <c r="H19" s="7"/>
    </row>
    <row r="20" spans="1:8" s="9" customFormat="1" ht="18.75" customHeight="1" x14ac:dyDescent="0.25">
      <c r="A20" s="869" t="s">
        <v>7</v>
      </c>
      <c r="B20" s="832" t="s">
        <v>52</v>
      </c>
      <c r="C20" s="871" t="s">
        <v>53</v>
      </c>
      <c r="D20" s="70" t="s">
        <v>79</v>
      </c>
      <c r="E20" s="70">
        <f>SUM(E21:E23)</f>
        <v>270</v>
      </c>
      <c r="F20" s="84">
        <f>SUM(F21:F23)</f>
        <v>1957000</v>
      </c>
      <c r="G20" s="70">
        <f>SUM(G21:G23)</f>
        <v>150</v>
      </c>
      <c r="H20" s="71">
        <f>SUM(H21:H23)</f>
        <v>900000</v>
      </c>
    </row>
    <row r="21" spans="1:8" s="3" customFormat="1" ht="20.25" customHeight="1" x14ac:dyDescent="0.25">
      <c r="A21" s="870"/>
      <c r="B21" s="832"/>
      <c r="C21" s="872"/>
      <c r="D21" s="83" t="s">
        <v>150</v>
      </c>
      <c r="E21" s="30">
        <f>31</f>
        <v>31</v>
      </c>
      <c r="F21" s="37">
        <f>247000</f>
        <v>247000</v>
      </c>
      <c r="G21" s="4">
        <v>30</v>
      </c>
      <c r="H21" s="17">
        <v>300000</v>
      </c>
    </row>
    <row r="22" spans="1:8" s="2" customFormat="1" ht="14.25" customHeight="1" x14ac:dyDescent="0.25">
      <c r="A22" s="870"/>
      <c r="B22" s="832"/>
      <c r="C22" s="872"/>
      <c r="D22" s="83" t="s">
        <v>151</v>
      </c>
      <c r="E22" s="30">
        <f>12+147</f>
        <v>159</v>
      </c>
      <c r="F22" s="37">
        <f>1153000</f>
        <v>1153000</v>
      </c>
      <c r="G22" s="4">
        <v>60</v>
      </c>
      <c r="H22" s="17">
        <v>300000</v>
      </c>
    </row>
    <row r="23" spans="1:8" s="2" customFormat="1" ht="65.25" customHeight="1" x14ac:dyDescent="0.25">
      <c r="A23" s="870"/>
      <c r="B23" s="832"/>
      <c r="C23" s="872"/>
      <c r="D23" s="195" t="s">
        <v>152</v>
      </c>
      <c r="E23" s="233">
        <f>10+50+20</f>
        <v>80</v>
      </c>
      <c r="F23" s="234">
        <f>457000+100000</f>
        <v>557000</v>
      </c>
      <c r="G23" s="196">
        <v>60</v>
      </c>
      <c r="H23" s="197">
        <v>300000</v>
      </c>
    </row>
    <row r="24" spans="1:8" s="8" customFormat="1" ht="5.25" customHeight="1" x14ac:dyDescent="0.25">
      <c r="A24" s="7"/>
      <c r="B24" s="7"/>
      <c r="C24" s="7"/>
      <c r="D24" s="7"/>
      <c r="E24" s="7"/>
      <c r="F24" s="93"/>
      <c r="G24" s="7"/>
      <c r="H24" s="7"/>
    </row>
    <row r="25" spans="1:8" s="9" customFormat="1" ht="19.5" customHeight="1" x14ac:dyDescent="0.25">
      <c r="A25" s="869" t="s">
        <v>6</v>
      </c>
      <c r="B25" s="867" t="s">
        <v>54</v>
      </c>
      <c r="C25" s="869" t="s">
        <v>20</v>
      </c>
      <c r="D25" s="70" t="s">
        <v>79</v>
      </c>
      <c r="E25" s="70">
        <f>SUM(E26:E28)</f>
        <v>4366</v>
      </c>
      <c r="F25" s="84">
        <f>SUM(F26:F28)</f>
        <v>2297250</v>
      </c>
      <c r="G25" s="70">
        <f>SUM(G26:G28)</f>
        <v>10471</v>
      </c>
      <c r="H25" s="71">
        <f>SUM(H26:H28)</f>
        <v>16334760</v>
      </c>
    </row>
    <row r="26" spans="1:8" s="3" customFormat="1" ht="21" customHeight="1" x14ac:dyDescent="0.25">
      <c r="A26" s="870"/>
      <c r="B26" s="868"/>
      <c r="C26" s="870"/>
      <c r="D26" s="83" t="s">
        <v>150</v>
      </c>
      <c r="E26" s="30"/>
      <c r="F26" s="37"/>
      <c r="G26" s="4">
        <v>5232</v>
      </c>
      <c r="H26" s="17">
        <v>8161920</v>
      </c>
    </row>
    <row r="27" spans="1:8" s="2" customFormat="1" ht="14.25" customHeight="1" x14ac:dyDescent="0.25">
      <c r="A27" s="870"/>
      <c r="B27" s="868"/>
      <c r="C27" s="870"/>
      <c r="D27" s="83" t="s">
        <v>151</v>
      </c>
      <c r="E27" s="30">
        <v>2911</v>
      </c>
      <c r="F27" s="37" t="s">
        <v>207</v>
      </c>
      <c r="G27" s="4">
        <v>3493</v>
      </c>
      <c r="H27" s="17">
        <v>5449080</v>
      </c>
    </row>
    <row r="28" spans="1:8" s="2" customFormat="1" ht="14.25" customHeight="1" x14ac:dyDescent="0.25">
      <c r="A28" s="873"/>
      <c r="B28" s="874"/>
      <c r="C28" s="873"/>
      <c r="D28" s="83" t="s">
        <v>152</v>
      </c>
      <c r="E28" s="30">
        <v>1455</v>
      </c>
      <c r="F28" s="37">
        <v>2297250</v>
      </c>
      <c r="G28" s="4">
        <v>1746</v>
      </c>
      <c r="H28" s="17">
        <v>2723760</v>
      </c>
    </row>
    <row r="29" spans="1:8" s="123" customFormat="1" ht="5.25" customHeight="1" x14ac:dyDescent="0.25">
      <c r="F29" s="174"/>
    </row>
    <row r="30" spans="1:8" s="123" customFormat="1" ht="5.25" customHeight="1" x14ac:dyDescent="0.25">
      <c r="F30" s="174"/>
    </row>
    <row r="31" spans="1:8" s="123" customFormat="1" ht="5.25" customHeight="1" x14ac:dyDescent="0.25">
      <c r="F31" s="174"/>
    </row>
    <row r="32" spans="1:8" s="123" customFormat="1" ht="5.25" customHeight="1" x14ac:dyDescent="0.25">
      <c r="F32" s="174"/>
    </row>
    <row r="33" spans="1:9" s="123" customFormat="1" ht="5.25" customHeight="1" x14ac:dyDescent="0.25">
      <c r="F33" s="174"/>
    </row>
    <row r="34" spans="1:9" s="123" customFormat="1" ht="5.25" customHeight="1" x14ac:dyDescent="0.25">
      <c r="F34" s="174"/>
    </row>
    <row r="35" spans="1:9" s="123" customFormat="1" ht="5.25" customHeight="1" x14ac:dyDescent="0.25">
      <c r="F35" s="174"/>
    </row>
    <row r="36" spans="1:9" s="123" customFormat="1" ht="5.25" customHeight="1" x14ac:dyDescent="0.25">
      <c r="F36" s="174"/>
    </row>
    <row r="37" spans="1:9" s="123" customFormat="1" ht="5.25" customHeight="1" x14ac:dyDescent="0.25">
      <c r="F37" s="174"/>
    </row>
    <row r="38" spans="1:9" s="123" customFormat="1" ht="5.25" customHeight="1" x14ac:dyDescent="0.25">
      <c r="F38" s="174"/>
    </row>
    <row r="39" spans="1:9" s="123" customFormat="1" ht="5.25" customHeight="1" x14ac:dyDescent="0.25">
      <c r="F39" s="174"/>
    </row>
    <row r="40" spans="1:9" s="123" customFormat="1" ht="5.25" customHeight="1" x14ac:dyDescent="0.25">
      <c r="F40" s="174"/>
    </row>
    <row r="41" spans="1:9" s="123" customFormat="1" ht="5.25" customHeight="1" x14ac:dyDescent="0.25">
      <c r="F41" s="174"/>
    </row>
    <row r="42" spans="1:9" s="9" customFormat="1" ht="18.75" customHeight="1" x14ac:dyDescent="0.25">
      <c r="A42" s="869" t="s">
        <v>16</v>
      </c>
      <c r="B42" s="869" t="s">
        <v>55</v>
      </c>
      <c r="C42" s="869" t="s">
        <v>19</v>
      </c>
      <c r="D42" s="70" t="s">
        <v>79</v>
      </c>
      <c r="E42" s="70">
        <f>SUM(E43:E45)</f>
        <v>319</v>
      </c>
      <c r="F42" s="84">
        <f>SUM(F43:F45)</f>
        <v>1285500</v>
      </c>
      <c r="G42" s="70">
        <f>SUM(G43:G45)</f>
        <v>799</v>
      </c>
      <c r="H42" s="71">
        <f>SUM(H43:H45)</f>
        <v>4794000</v>
      </c>
    </row>
    <row r="43" spans="1:9" s="3" customFormat="1" ht="18.75" customHeight="1" x14ac:dyDescent="0.25">
      <c r="A43" s="870"/>
      <c r="B43" s="870"/>
      <c r="C43" s="870"/>
      <c r="D43" s="83" t="s">
        <v>150</v>
      </c>
      <c r="E43" s="30">
        <v>123</v>
      </c>
      <c r="F43" s="37">
        <v>467000</v>
      </c>
      <c r="G43" s="4">
        <v>293</v>
      </c>
      <c r="H43" s="17">
        <v>1758000</v>
      </c>
    </row>
    <row r="44" spans="1:9" s="2" customFormat="1" ht="14.25" customHeight="1" x14ac:dyDescent="0.25">
      <c r="A44" s="870"/>
      <c r="B44" s="870"/>
      <c r="C44" s="870"/>
      <c r="D44" s="83" t="s">
        <v>151</v>
      </c>
      <c r="E44" s="30">
        <v>105</v>
      </c>
      <c r="F44" s="37">
        <v>447000</v>
      </c>
      <c r="G44" s="4">
        <v>265</v>
      </c>
      <c r="H44" s="17">
        <v>1590000</v>
      </c>
    </row>
    <row r="45" spans="1:9" s="2" customFormat="1" ht="18.75" customHeight="1" x14ac:dyDescent="0.25">
      <c r="A45" s="870"/>
      <c r="B45" s="870"/>
      <c r="C45" s="870"/>
      <c r="D45" s="195" t="s">
        <v>152</v>
      </c>
      <c r="E45" s="233">
        <v>91</v>
      </c>
      <c r="F45" s="234">
        <v>371500</v>
      </c>
      <c r="G45" s="196">
        <v>241</v>
      </c>
      <c r="H45" s="197">
        <v>1446000</v>
      </c>
      <c r="I45" s="245"/>
    </row>
    <row r="46" spans="1:9" s="8" customFormat="1" ht="5.25" customHeight="1" x14ac:dyDescent="0.25">
      <c r="A46" s="122"/>
      <c r="B46" s="122"/>
      <c r="C46" s="122"/>
      <c r="D46" s="122"/>
      <c r="E46" s="122"/>
      <c r="F46" s="173"/>
      <c r="G46" s="122"/>
      <c r="H46" s="122"/>
    </row>
    <row r="47" spans="1:9" s="9" customFormat="1" ht="16.5" customHeight="1" x14ac:dyDescent="0.25">
      <c r="A47" s="869" t="s">
        <v>17</v>
      </c>
      <c r="B47" s="876" t="s">
        <v>56</v>
      </c>
      <c r="C47" s="869" t="s">
        <v>18</v>
      </c>
      <c r="D47" s="70" t="s">
        <v>79</v>
      </c>
      <c r="E47" s="70">
        <f>SUM(E48:E50)</f>
        <v>59</v>
      </c>
      <c r="F47" s="84">
        <f>SUM(F48:F50)</f>
        <v>108698</v>
      </c>
      <c r="G47" s="70">
        <f>SUM(G48:G50)</f>
        <v>0</v>
      </c>
      <c r="H47" s="71">
        <f>SUM(H48:H50)</f>
        <v>0</v>
      </c>
    </row>
    <row r="48" spans="1:9" s="3" customFormat="1" ht="21" customHeight="1" x14ac:dyDescent="0.25">
      <c r="A48" s="870"/>
      <c r="B48" s="877"/>
      <c r="C48" s="870"/>
      <c r="D48" s="83" t="s">
        <v>150</v>
      </c>
      <c r="E48" s="30">
        <f>1+2+8+2+1+1+6</f>
        <v>21</v>
      </c>
      <c r="F48" s="37">
        <f>1500+5250+2500+3000+8350+10000+21408</f>
        <v>52008</v>
      </c>
      <c r="G48" s="4"/>
      <c r="H48" s="17"/>
    </row>
    <row r="49" spans="1:9" s="2" customFormat="1" ht="14.25" customHeight="1" x14ac:dyDescent="0.25">
      <c r="A49" s="870"/>
      <c r="B49" s="877"/>
      <c r="C49" s="870"/>
      <c r="D49" s="83" t="s">
        <v>151</v>
      </c>
      <c r="E49" s="30">
        <f>5+1+4+6+1+2+4</f>
        <v>23</v>
      </c>
      <c r="F49" s="37">
        <f>6340+1000+6000+8100+5000+3500+8250</f>
        <v>38190</v>
      </c>
      <c r="G49" s="4"/>
      <c r="H49" s="17"/>
    </row>
    <row r="50" spans="1:9" s="2" customFormat="1" ht="14.25" customHeight="1" x14ac:dyDescent="0.25">
      <c r="A50" s="873"/>
      <c r="B50" s="878"/>
      <c r="C50" s="873"/>
      <c r="D50" s="83" t="s">
        <v>152</v>
      </c>
      <c r="E50" s="30">
        <f>3+4+3+1+4</f>
        <v>15</v>
      </c>
      <c r="F50" s="37">
        <f>6000+5500+2900+2000+2100</f>
        <v>18500</v>
      </c>
      <c r="G50" s="4"/>
      <c r="H50" s="17"/>
    </row>
    <row r="51" spans="1:9" s="8" customFormat="1" ht="5.25" customHeight="1" x14ac:dyDescent="0.25">
      <c r="A51" s="7"/>
      <c r="B51" s="7"/>
      <c r="C51" s="7"/>
      <c r="D51" s="7"/>
      <c r="E51" s="7"/>
      <c r="F51" s="93"/>
      <c r="G51" s="7"/>
      <c r="H51" s="7"/>
    </row>
    <row r="52" spans="1:9" s="9" customFormat="1" ht="34.5" hidden="1" customHeight="1" x14ac:dyDescent="0.25">
      <c r="A52" s="6" t="s">
        <v>22</v>
      </c>
      <c r="B52" s="831" t="s">
        <v>57</v>
      </c>
      <c r="C52" s="6" t="s">
        <v>37</v>
      </c>
      <c r="D52" s="6"/>
      <c r="E52" s="42">
        <f>SUM(E53:E58)</f>
        <v>227</v>
      </c>
      <c r="F52" s="94">
        <f>SUM(F53:F58)</f>
        <v>562960</v>
      </c>
      <c r="G52" s="6"/>
      <c r="H52" s="6"/>
    </row>
    <row r="53" spans="1:9" s="1" customFormat="1" ht="15" hidden="1" customHeight="1" x14ac:dyDescent="0.25">
      <c r="A53" s="972" t="s">
        <v>35</v>
      </c>
      <c r="B53" s="832"/>
      <c r="C53" s="5"/>
      <c r="D53" s="4" t="s">
        <v>42</v>
      </c>
      <c r="E53" s="44"/>
      <c r="F53" s="41"/>
      <c r="G53" s="5"/>
      <c r="H53" s="4" t="s">
        <v>8</v>
      </c>
    </row>
    <row r="54" spans="1:9" s="1" customFormat="1" ht="15" hidden="1" customHeight="1" x14ac:dyDescent="0.25">
      <c r="A54" s="918"/>
      <c r="B54" s="833"/>
      <c r="C54" s="5"/>
      <c r="D54" s="4" t="s">
        <v>43</v>
      </c>
      <c r="E54" s="44"/>
      <c r="F54" s="38"/>
      <c r="G54" s="5"/>
      <c r="H54" s="4" t="s">
        <v>9</v>
      </c>
    </row>
    <row r="55" spans="1:9" s="1" customFormat="1" ht="15" hidden="1" customHeight="1" x14ac:dyDescent="0.25">
      <c r="A55" s="918"/>
      <c r="B55" s="211"/>
      <c r="C55" s="5"/>
      <c r="D55" s="4" t="s">
        <v>44</v>
      </c>
      <c r="E55" s="45">
        <v>227</v>
      </c>
      <c r="F55" s="39">
        <v>562960</v>
      </c>
      <c r="G55" s="5"/>
      <c r="H55" s="4" t="s">
        <v>10</v>
      </c>
    </row>
    <row r="56" spans="1:9" s="1" customFormat="1" ht="15" hidden="1" customHeight="1" x14ac:dyDescent="0.25">
      <c r="A56" s="918"/>
      <c r="B56" s="211"/>
      <c r="C56" s="5"/>
      <c r="D56" s="4" t="s">
        <v>45</v>
      </c>
      <c r="E56" s="44"/>
      <c r="F56" s="39"/>
      <c r="G56" s="5"/>
      <c r="H56" s="4" t="s">
        <v>11</v>
      </c>
    </row>
    <row r="57" spans="1:9" s="1" customFormat="1" ht="15" hidden="1" customHeight="1" x14ac:dyDescent="0.25">
      <c r="A57" s="918"/>
      <c r="B57" s="211"/>
      <c r="C57" s="5"/>
      <c r="D57" s="4" t="s">
        <v>46</v>
      </c>
      <c r="E57" s="44"/>
      <c r="F57" s="39"/>
      <c r="G57" s="5"/>
      <c r="H57" s="4" t="s">
        <v>12</v>
      </c>
    </row>
    <row r="58" spans="1:9" s="1" customFormat="1" ht="15" hidden="1" customHeight="1" x14ac:dyDescent="0.25">
      <c r="A58" s="918"/>
      <c r="B58" s="211"/>
      <c r="C58" s="5"/>
      <c r="D58" s="4" t="s">
        <v>47</v>
      </c>
      <c r="E58" s="44"/>
      <c r="F58" s="40"/>
      <c r="G58" s="5"/>
      <c r="H58" s="4" t="s">
        <v>13</v>
      </c>
    </row>
    <row r="59" spans="1:9" s="8" customFormat="1" ht="8.25" hidden="1" customHeight="1" x14ac:dyDescent="0.25">
      <c r="A59" s="7"/>
      <c r="B59" s="7"/>
      <c r="C59" s="7"/>
      <c r="D59" s="7"/>
      <c r="E59" s="7"/>
      <c r="F59" s="93"/>
      <c r="G59" s="7"/>
      <c r="H59" s="7"/>
    </row>
    <row r="60" spans="1:9" s="9" customFormat="1" ht="20.25" customHeight="1" x14ac:dyDescent="0.25">
      <c r="A60" s="869" t="s">
        <v>23</v>
      </c>
      <c r="B60" s="831" t="s">
        <v>58</v>
      </c>
      <c r="C60" s="869" t="s">
        <v>24</v>
      </c>
      <c r="D60" s="70" t="s">
        <v>79</v>
      </c>
      <c r="E60" s="70">
        <f>SUM(E61:E64)</f>
        <v>1645</v>
      </c>
      <c r="F60" s="84">
        <f>SUM(F61:F64)</f>
        <v>509649.24</v>
      </c>
      <c r="G60" s="70">
        <f>SUM(G61:G63)</f>
        <v>0</v>
      </c>
      <c r="H60" s="71">
        <f>SUM(H61:H63)</f>
        <v>0</v>
      </c>
      <c r="I60" s="66"/>
    </row>
    <row r="61" spans="1:9" s="3" customFormat="1" ht="20.25" customHeight="1" x14ac:dyDescent="0.25">
      <c r="A61" s="870"/>
      <c r="B61" s="832"/>
      <c r="C61" s="870"/>
      <c r="D61" s="83" t="s">
        <v>150</v>
      </c>
      <c r="E61" s="30">
        <v>200</v>
      </c>
      <c r="F61" s="37">
        <v>49730</v>
      </c>
      <c r="G61" s="4"/>
      <c r="H61" s="17"/>
    </row>
    <row r="62" spans="1:9" s="2" customFormat="1" ht="14.25" customHeight="1" x14ac:dyDescent="0.25">
      <c r="A62" s="870"/>
      <c r="B62" s="832"/>
      <c r="C62" s="870"/>
      <c r="D62" s="83" t="s">
        <v>151</v>
      </c>
      <c r="E62" s="30">
        <v>440</v>
      </c>
      <c r="F62" s="37">
        <v>208669.24</v>
      </c>
      <c r="G62" s="4"/>
      <c r="H62" s="17"/>
    </row>
    <row r="63" spans="1:9" s="2" customFormat="1" ht="14.25" customHeight="1" x14ac:dyDescent="0.25">
      <c r="A63" s="870"/>
      <c r="B63" s="832"/>
      <c r="C63" s="870"/>
      <c r="D63" s="83" t="s">
        <v>152</v>
      </c>
      <c r="E63" s="30">
        <v>5</v>
      </c>
      <c r="F63" s="37">
        <v>1250</v>
      </c>
      <c r="G63" s="4"/>
      <c r="H63" s="17"/>
    </row>
    <row r="64" spans="1:9" s="2" customFormat="1" ht="41.25" customHeight="1" x14ac:dyDescent="0.25">
      <c r="A64" s="873"/>
      <c r="B64" s="832"/>
      <c r="C64" s="873"/>
      <c r="D64" s="246" t="s">
        <v>217</v>
      </c>
      <c r="E64" s="247">
        <v>1000</v>
      </c>
      <c r="F64" s="248">
        <v>250000</v>
      </c>
      <c r="G64" s="222"/>
      <c r="H64" s="249"/>
    </row>
    <row r="65" spans="1:8" s="8" customFormat="1" ht="5.25" customHeight="1" x14ac:dyDescent="0.25">
      <c r="A65" s="7"/>
      <c r="B65" s="7"/>
      <c r="C65" s="7"/>
      <c r="D65" s="7"/>
      <c r="E65" s="7"/>
      <c r="F65" s="93"/>
      <c r="G65" s="7"/>
      <c r="H65" s="7"/>
    </row>
    <row r="66" spans="1:8" s="9" customFormat="1" ht="30" hidden="1" customHeight="1" x14ac:dyDescent="0.25">
      <c r="A66" s="214" t="s">
        <v>63</v>
      </c>
      <c r="B66" s="831" t="s">
        <v>64</v>
      </c>
      <c r="C66" s="6" t="s">
        <v>65</v>
      </c>
      <c r="D66" s="155" t="s">
        <v>81</v>
      </c>
      <c r="E66" s="161" t="e">
        <f>SUM(#REF!)</f>
        <v>#REF!</v>
      </c>
      <c r="F66" s="158" t="e">
        <f>SUM(#REF!)</f>
        <v>#REF!</v>
      </c>
      <c r="G66" s="63" t="e">
        <f>#REF!+#REF!</f>
        <v>#REF!</v>
      </c>
      <c r="H66" s="78" t="e">
        <f>#REF!+#REF!</f>
        <v>#REF!</v>
      </c>
    </row>
    <row r="67" spans="1:8" s="3" customFormat="1" ht="27.75" hidden="1" customHeight="1" x14ac:dyDescent="0.25">
      <c r="A67" s="6"/>
      <c r="B67" s="879"/>
      <c r="C67" s="6"/>
      <c r="D67" s="70" t="s">
        <v>79</v>
      </c>
      <c r="E67" s="70">
        <f>SUM(E68:E70)</f>
        <v>0</v>
      </c>
      <c r="F67" s="84">
        <f>SUM(F68:F70)</f>
        <v>0</v>
      </c>
      <c r="G67" s="70">
        <f>SUM(G68:G70)</f>
        <v>0</v>
      </c>
      <c r="H67" s="71">
        <f>SUM(H68:H70)</f>
        <v>0</v>
      </c>
    </row>
    <row r="68" spans="1:8" s="2" customFormat="1" ht="14.25" hidden="1" customHeight="1" x14ac:dyDescent="0.25">
      <c r="A68" s="18"/>
      <c r="B68" s="879"/>
      <c r="C68" s="6"/>
      <c r="D68" s="83" t="s">
        <v>150</v>
      </c>
      <c r="E68" s="30"/>
      <c r="F68" s="37"/>
      <c r="G68" s="4"/>
      <c r="H68" s="17"/>
    </row>
    <row r="69" spans="1:8" s="2" customFormat="1" ht="14.25" hidden="1" customHeight="1" x14ac:dyDescent="0.25">
      <c r="A69" s="972"/>
      <c r="B69" s="879"/>
      <c r="C69" s="6"/>
      <c r="D69" s="83" t="s">
        <v>151</v>
      </c>
      <c r="E69" s="30"/>
      <c r="F69" s="37"/>
      <c r="G69" s="4"/>
      <c r="H69" s="17"/>
    </row>
    <row r="70" spans="1:8" s="2" customFormat="1" ht="14.25" hidden="1" customHeight="1" x14ac:dyDescent="0.25">
      <c r="A70" s="918"/>
      <c r="B70" s="879"/>
      <c r="C70" s="6"/>
      <c r="D70" s="83" t="s">
        <v>152</v>
      </c>
      <c r="E70" s="30"/>
      <c r="F70" s="37"/>
      <c r="G70" s="4"/>
      <c r="H70" s="17"/>
    </row>
    <row r="71" spans="1:8" s="2" customFormat="1" ht="24" hidden="1" customHeight="1" x14ac:dyDescent="0.25">
      <c r="A71" s="211"/>
      <c r="B71" s="879"/>
      <c r="C71" s="6"/>
      <c r="D71" s="70" t="s">
        <v>80</v>
      </c>
      <c r="E71" s="70">
        <f>SUM(E72:E77)</f>
        <v>0</v>
      </c>
      <c r="F71" s="84">
        <f>SUM(F72:F77)</f>
        <v>0</v>
      </c>
      <c r="G71" s="70">
        <f>SUM(G72:G77)</f>
        <v>0</v>
      </c>
      <c r="H71" s="71">
        <f>SUM(H72:H77)</f>
        <v>0</v>
      </c>
    </row>
    <row r="72" spans="1:8" s="2" customFormat="1" ht="14.25" hidden="1" customHeight="1" x14ac:dyDescent="0.25">
      <c r="A72" s="211"/>
      <c r="B72" s="879"/>
      <c r="C72" s="6"/>
      <c r="D72" s="83" t="s">
        <v>153</v>
      </c>
      <c r="E72" s="30"/>
      <c r="F72" s="37"/>
      <c r="G72" s="4"/>
      <c r="H72" s="17"/>
    </row>
    <row r="73" spans="1:8" s="2" customFormat="1" ht="14.25" hidden="1" customHeight="1" x14ac:dyDescent="0.25">
      <c r="A73" s="211"/>
      <c r="B73" s="879"/>
      <c r="C73" s="6"/>
      <c r="D73" s="83" t="s">
        <v>154</v>
      </c>
      <c r="E73" s="30"/>
      <c r="F73" s="37"/>
      <c r="G73" s="4"/>
      <c r="H73" s="17"/>
    </row>
    <row r="74" spans="1:8" s="2" customFormat="1" ht="14.25" hidden="1" customHeight="1" x14ac:dyDescent="0.25">
      <c r="A74" s="211"/>
      <c r="B74" s="879"/>
      <c r="C74" s="6"/>
      <c r="D74" s="83" t="s">
        <v>155</v>
      </c>
      <c r="E74" s="30"/>
      <c r="F74" s="37"/>
      <c r="G74" s="4"/>
      <c r="H74" s="17"/>
    </row>
    <row r="75" spans="1:8" s="2" customFormat="1" ht="14.25" hidden="1" customHeight="1" x14ac:dyDescent="0.25">
      <c r="A75" s="211"/>
      <c r="B75" s="879"/>
      <c r="C75" s="6"/>
      <c r="D75" s="83" t="s">
        <v>156</v>
      </c>
      <c r="E75" s="30"/>
      <c r="F75" s="37"/>
      <c r="G75" s="4"/>
      <c r="H75" s="17"/>
    </row>
    <row r="76" spans="1:8" s="2" customFormat="1" ht="14.25" hidden="1" customHeight="1" x14ac:dyDescent="0.25">
      <c r="A76" s="211"/>
      <c r="B76" s="879"/>
      <c r="C76" s="6"/>
      <c r="D76" s="83" t="s">
        <v>157</v>
      </c>
      <c r="E76" s="30"/>
      <c r="F76" s="37"/>
      <c r="G76" s="4"/>
      <c r="H76" s="17"/>
    </row>
    <row r="77" spans="1:8" s="2" customFormat="1" ht="14.25" hidden="1" customHeight="1" x14ac:dyDescent="0.25">
      <c r="A77" s="211"/>
      <c r="B77" s="879"/>
      <c r="C77" s="6"/>
      <c r="D77" s="83" t="s">
        <v>158</v>
      </c>
      <c r="E77" s="30"/>
      <c r="F77" s="37"/>
      <c r="G77" s="4"/>
      <c r="H77" s="17"/>
    </row>
    <row r="78" spans="1:8" s="2" customFormat="1" ht="24" hidden="1" customHeight="1" x14ac:dyDescent="0.25">
      <c r="A78" s="211"/>
      <c r="B78" s="879"/>
      <c r="C78" s="6"/>
      <c r="D78" s="70" t="s">
        <v>97</v>
      </c>
      <c r="E78" s="70">
        <f>SUM(E79:E83)</f>
        <v>0</v>
      </c>
      <c r="F78" s="84">
        <f>SUM(F79:F83)</f>
        <v>0</v>
      </c>
      <c r="G78" s="70">
        <f>SUM(G79:G83)</f>
        <v>0</v>
      </c>
      <c r="H78" s="71">
        <f>SUM(H79:H83)</f>
        <v>0</v>
      </c>
    </row>
    <row r="79" spans="1:8" s="2" customFormat="1" ht="14.25" hidden="1" customHeight="1" x14ac:dyDescent="0.25">
      <c r="A79" s="211"/>
      <c r="B79" s="879"/>
      <c r="C79" s="6"/>
      <c r="D79" s="83" t="s">
        <v>159</v>
      </c>
      <c r="E79" s="30"/>
      <c r="F79" s="37"/>
      <c r="G79" s="4"/>
      <c r="H79" s="17"/>
    </row>
    <row r="80" spans="1:8" s="2" customFormat="1" ht="14.25" hidden="1" customHeight="1" x14ac:dyDescent="0.25">
      <c r="A80" s="211"/>
      <c r="B80" s="879"/>
      <c r="C80" s="6"/>
      <c r="D80" s="83" t="s">
        <v>160</v>
      </c>
      <c r="E80" s="30"/>
      <c r="F80" s="37"/>
      <c r="G80" s="4"/>
      <c r="H80" s="17"/>
    </row>
    <row r="81" spans="1:8" s="2" customFormat="1" ht="14.25" hidden="1" customHeight="1" x14ac:dyDescent="0.25">
      <c r="A81" s="211"/>
      <c r="B81" s="879"/>
      <c r="C81" s="6"/>
      <c r="D81" s="83" t="s">
        <v>161</v>
      </c>
      <c r="E81" s="30"/>
      <c r="F81" s="37"/>
      <c r="G81" s="4"/>
      <c r="H81" s="17"/>
    </row>
    <row r="82" spans="1:8" s="2" customFormat="1" ht="14.25" hidden="1" customHeight="1" x14ac:dyDescent="0.25">
      <c r="A82" s="211"/>
      <c r="B82" s="879"/>
      <c r="C82" s="6"/>
      <c r="D82" s="83" t="s">
        <v>162</v>
      </c>
      <c r="E82" s="30"/>
      <c r="F82" s="37"/>
      <c r="G82" s="4"/>
      <c r="H82" s="17"/>
    </row>
    <row r="83" spans="1:8" s="2" customFormat="1" ht="14.25" hidden="1" customHeight="1" x14ac:dyDescent="0.25">
      <c r="A83" s="211"/>
      <c r="B83" s="879"/>
      <c r="C83" s="6"/>
      <c r="D83" s="86" t="s">
        <v>163</v>
      </c>
      <c r="E83" s="30"/>
      <c r="F83" s="37"/>
      <c r="G83" s="4"/>
      <c r="H83" s="17"/>
    </row>
    <row r="84" spans="1:8" s="2" customFormat="1" ht="24" hidden="1" customHeight="1" x14ac:dyDescent="0.25">
      <c r="A84" s="211"/>
      <c r="B84" s="879"/>
      <c r="C84" s="6"/>
      <c r="D84" s="70" t="s">
        <v>98</v>
      </c>
      <c r="E84" s="70">
        <f>SUM(E85:E92)</f>
        <v>0</v>
      </c>
      <c r="F84" s="84">
        <f>SUM(F85:F92)</f>
        <v>0</v>
      </c>
      <c r="G84" s="70">
        <f>SUM(G85:G92)</f>
        <v>0</v>
      </c>
      <c r="H84" s="71">
        <f>SUM(H85:H92)</f>
        <v>0</v>
      </c>
    </row>
    <row r="85" spans="1:8" s="2" customFormat="1" ht="14.25" hidden="1" customHeight="1" x14ac:dyDescent="0.25">
      <c r="A85" s="211"/>
      <c r="B85" s="879"/>
      <c r="C85" s="6"/>
      <c r="D85" s="83" t="s">
        <v>164</v>
      </c>
      <c r="E85" s="30"/>
      <c r="F85" s="37"/>
      <c r="G85" s="4"/>
      <c r="H85" s="17"/>
    </row>
    <row r="86" spans="1:8" s="2" customFormat="1" ht="14.25" hidden="1" customHeight="1" x14ac:dyDescent="0.25">
      <c r="A86" s="211"/>
      <c r="B86" s="879"/>
      <c r="C86" s="6"/>
      <c r="D86" s="83" t="s">
        <v>165</v>
      </c>
      <c r="E86" s="30"/>
      <c r="F86" s="37"/>
      <c r="G86" s="4"/>
      <c r="H86" s="17"/>
    </row>
    <row r="87" spans="1:8" s="2" customFormat="1" ht="14.25" hidden="1" customHeight="1" x14ac:dyDescent="0.25">
      <c r="A87" s="211"/>
      <c r="B87" s="879"/>
      <c r="C87" s="6"/>
      <c r="D87" s="83" t="s">
        <v>166</v>
      </c>
      <c r="E87" s="30"/>
      <c r="F87" s="37"/>
      <c r="G87" s="4"/>
      <c r="H87" s="17"/>
    </row>
    <row r="88" spans="1:8" s="2" customFormat="1" ht="14.25" hidden="1" customHeight="1" x14ac:dyDescent="0.25">
      <c r="A88" s="211"/>
      <c r="B88" s="879"/>
      <c r="C88" s="6"/>
      <c r="D88" s="83" t="s">
        <v>167</v>
      </c>
      <c r="E88" s="30"/>
      <c r="F88" s="37"/>
      <c r="G88" s="4"/>
      <c r="H88" s="17"/>
    </row>
    <row r="89" spans="1:8" s="2" customFormat="1" ht="14.25" hidden="1" customHeight="1" x14ac:dyDescent="0.25">
      <c r="A89" s="211"/>
      <c r="B89" s="879"/>
      <c r="C89" s="6"/>
      <c r="D89" s="83" t="s">
        <v>168</v>
      </c>
      <c r="E89" s="30"/>
      <c r="F89" s="37"/>
      <c r="G89" s="4"/>
      <c r="H89" s="17"/>
    </row>
    <row r="90" spans="1:8" s="2" customFormat="1" ht="14.25" hidden="1" customHeight="1" x14ac:dyDescent="0.25">
      <c r="A90" s="211"/>
      <c r="B90" s="879"/>
      <c r="C90" s="6"/>
      <c r="D90" s="83" t="s">
        <v>169</v>
      </c>
      <c r="E90" s="30"/>
      <c r="F90" s="37"/>
      <c r="G90" s="4"/>
      <c r="H90" s="17"/>
    </row>
    <row r="91" spans="1:8" s="2" customFormat="1" ht="14.25" hidden="1" customHeight="1" x14ac:dyDescent="0.25">
      <c r="A91" s="211"/>
      <c r="B91" s="879"/>
      <c r="C91" s="6"/>
      <c r="D91" s="83" t="s">
        <v>170</v>
      </c>
      <c r="E91" s="30"/>
      <c r="F91" s="37"/>
      <c r="G91" s="4"/>
      <c r="H91" s="17"/>
    </row>
    <row r="92" spans="1:8" s="2" customFormat="1" ht="14.25" hidden="1" customHeight="1" x14ac:dyDescent="0.25">
      <c r="A92" s="211"/>
      <c r="B92" s="879"/>
      <c r="C92" s="6"/>
      <c r="D92" s="83" t="s">
        <v>171</v>
      </c>
      <c r="E92" s="30"/>
      <c r="F92" s="37"/>
      <c r="G92" s="4"/>
      <c r="H92" s="17"/>
    </row>
    <row r="93" spans="1:8" s="8" customFormat="1" ht="5.25" hidden="1" customHeight="1" x14ac:dyDescent="0.25">
      <c r="A93" s="7"/>
      <c r="B93" s="7"/>
      <c r="C93" s="7"/>
      <c r="D93" s="7"/>
      <c r="E93" s="7"/>
      <c r="F93" s="93"/>
      <c r="G93" s="7"/>
      <c r="H93" s="7"/>
    </row>
    <row r="94" spans="1:8" s="9" customFormat="1" ht="19.5" customHeight="1" x14ac:dyDescent="0.25">
      <c r="A94" s="869" t="s">
        <v>67</v>
      </c>
      <c r="B94" s="831" t="s">
        <v>68</v>
      </c>
      <c r="C94" s="869" t="s">
        <v>65</v>
      </c>
      <c r="D94" s="224" t="s">
        <v>79</v>
      </c>
      <c r="E94" s="224">
        <f>SUM(E95:E95)</f>
        <v>500</v>
      </c>
      <c r="F94" s="231">
        <f>SUM(F95:F95)</f>
        <v>125000</v>
      </c>
      <c r="G94" s="224">
        <f>SUM(G95:G95)</f>
        <v>0</v>
      </c>
      <c r="H94" s="232">
        <f>SUM(H95:H95)</f>
        <v>0</v>
      </c>
    </row>
    <row r="95" spans="1:8" s="2" customFormat="1" ht="108.75" customHeight="1" x14ac:dyDescent="0.25">
      <c r="A95" s="873"/>
      <c r="B95" s="833"/>
      <c r="C95" s="873"/>
      <c r="D95" s="195" t="s">
        <v>151</v>
      </c>
      <c r="E95" s="233">
        <f>500</f>
        <v>500</v>
      </c>
      <c r="F95" s="234">
        <f>125000</f>
        <v>125000</v>
      </c>
      <c r="G95" s="196"/>
      <c r="H95" s="197"/>
    </row>
    <row r="96" spans="1:8" x14ac:dyDescent="0.25">
      <c r="A96" t="s">
        <v>26</v>
      </c>
      <c r="B96" t="s">
        <v>28</v>
      </c>
      <c r="D96" t="s">
        <v>31</v>
      </c>
      <c r="F96"/>
    </row>
    <row r="97" spans="1:6" x14ac:dyDescent="0.25">
      <c r="F97"/>
    </row>
    <row r="98" spans="1:6" x14ac:dyDescent="0.25">
      <c r="A98" t="s">
        <v>27</v>
      </c>
      <c r="B98" t="s">
        <v>29</v>
      </c>
      <c r="D98" t="s">
        <v>32</v>
      </c>
      <c r="F98"/>
    </row>
    <row r="99" spans="1:6" x14ac:dyDescent="0.25">
      <c r="A99" t="s">
        <v>223</v>
      </c>
      <c r="B99" t="s">
        <v>30</v>
      </c>
      <c r="D99" t="s">
        <v>33</v>
      </c>
      <c r="F99"/>
    </row>
  </sheetData>
  <mergeCells count="39">
    <mergeCell ref="B66:B92"/>
    <mergeCell ref="A69:A70"/>
    <mergeCell ref="B94:B95"/>
    <mergeCell ref="B52:B54"/>
    <mergeCell ref="A53:A58"/>
    <mergeCell ref="B60:B64"/>
    <mergeCell ref="A94:A95"/>
    <mergeCell ref="A60:A64"/>
    <mergeCell ref="A47:A50"/>
    <mergeCell ref="C47:C50"/>
    <mergeCell ref="A25:A28"/>
    <mergeCell ref="C25:C28"/>
    <mergeCell ref="B47:B50"/>
    <mergeCell ref="A42:A45"/>
    <mergeCell ref="B42:B45"/>
    <mergeCell ref="B25:B28"/>
    <mergeCell ref="C42:C45"/>
    <mergeCell ref="B16:B18"/>
    <mergeCell ref="A11:A14"/>
    <mergeCell ref="C11:C14"/>
    <mergeCell ref="A16:A18"/>
    <mergeCell ref="C20:C23"/>
    <mergeCell ref="B20:B23"/>
    <mergeCell ref="C60:C64"/>
    <mergeCell ref="C94:C95"/>
    <mergeCell ref="C16:C18"/>
    <mergeCell ref="A20:A23"/>
    <mergeCell ref="A1:H1"/>
    <mergeCell ref="A2:H2"/>
    <mergeCell ref="A4:H4"/>
    <mergeCell ref="A5:H5"/>
    <mergeCell ref="A7:A8"/>
    <mergeCell ref="B7:B8"/>
    <mergeCell ref="C7:C8"/>
    <mergeCell ref="D7:D8"/>
    <mergeCell ref="E7:E8"/>
    <mergeCell ref="F7:F8"/>
    <mergeCell ref="G7:H7"/>
    <mergeCell ref="B11:B14"/>
  </mergeCells>
  <printOptions horizontalCentered="1"/>
  <pageMargins left="0.52" right="0.95" top="0.68" bottom="0.69" header="0.3" footer="0.4"/>
  <pageSetup paperSize="9" scale="80" orientation="landscape" verticalDpi="300" r:id="rId1"/>
  <headerFooter>
    <oddFooter>&amp;L1st District of Pampanga
&amp;CPage &amp;P of &amp;N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opLeftCell="A65" workbookViewId="0">
      <selection activeCell="A6" sqref="A6:F12"/>
    </sheetView>
  </sheetViews>
  <sheetFormatPr defaultRowHeight="15" x14ac:dyDescent="0.25"/>
  <cols>
    <col min="1" max="1" width="30.85546875" customWidth="1"/>
    <col min="2" max="2" width="42" customWidth="1"/>
    <col min="3" max="3" width="15.140625" customWidth="1"/>
    <col min="4" max="4" width="20" customWidth="1"/>
    <col min="5" max="5" width="10.85546875" customWidth="1"/>
    <col min="6" max="6" width="18.570312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236</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181">
        <f>F11+F19+F23+F31+F41+F49+F65+F101</f>
        <v>89769971.75</v>
      </c>
      <c r="G9" s="11"/>
      <c r="H9" s="181">
        <f>H11+H19+H23+H31+H41+H49+H65+H101</f>
        <v>213143080</v>
      </c>
    </row>
    <row r="10" spans="1:8" s="8" customFormat="1" ht="5.25" customHeight="1" x14ac:dyDescent="0.25">
      <c r="A10" s="7"/>
      <c r="B10" s="7"/>
      <c r="C10" s="7"/>
      <c r="D10" s="7"/>
      <c r="E10" s="7"/>
      <c r="F10" s="93"/>
      <c r="G10" s="7"/>
      <c r="H10" s="7"/>
    </row>
    <row r="11" spans="1:8" s="3" customFormat="1" ht="21.75" customHeight="1" x14ac:dyDescent="0.25">
      <c r="A11" s="869" t="s">
        <v>5</v>
      </c>
      <c r="B11" s="831" t="s">
        <v>50</v>
      </c>
      <c r="C11" s="871" t="s">
        <v>21</v>
      </c>
      <c r="D11" s="70" t="s">
        <v>80</v>
      </c>
      <c r="E11" s="70">
        <f>SUM(E12:E17)</f>
        <v>11590</v>
      </c>
      <c r="F11" s="84">
        <f>SUM(F12:F17)</f>
        <v>71030700</v>
      </c>
      <c r="G11" s="70">
        <f>SUM(G12:G17)</f>
        <v>12191</v>
      </c>
      <c r="H11" s="71">
        <f>SUM(H12:H17)</f>
        <v>182865000</v>
      </c>
    </row>
    <row r="12" spans="1:8" s="3" customFormat="1" ht="18" customHeight="1" x14ac:dyDescent="0.25">
      <c r="A12" s="870"/>
      <c r="B12" s="832"/>
      <c r="C12" s="872"/>
      <c r="D12" s="83" t="s">
        <v>153</v>
      </c>
      <c r="E12" s="30">
        <v>1890</v>
      </c>
      <c r="F12" s="37">
        <v>11752700</v>
      </c>
      <c r="G12" s="4">
        <v>1941</v>
      </c>
      <c r="H12" s="17">
        <v>29115000</v>
      </c>
    </row>
    <row r="13" spans="1:8" s="2" customFormat="1" ht="14.25" customHeight="1" x14ac:dyDescent="0.25">
      <c r="A13" s="870"/>
      <c r="B13" s="832"/>
      <c r="C13" s="872"/>
      <c r="D13" s="83" t="s">
        <v>154</v>
      </c>
      <c r="E13" s="30">
        <v>1733</v>
      </c>
      <c r="F13" s="37">
        <v>11283800</v>
      </c>
      <c r="G13" s="4">
        <v>1841</v>
      </c>
      <c r="H13" s="17">
        <v>27615000</v>
      </c>
    </row>
    <row r="14" spans="1:8" s="2" customFormat="1" ht="14.25" customHeight="1" x14ac:dyDescent="0.25">
      <c r="A14" s="870"/>
      <c r="B14" s="832"/>
      <c r="C14" s="872"/>
      <c r="D14" s="83" t="s">
        <v>155</v>
      </c>
      <c r="E14" s="30">
        <v>3236</v>
      </c>
      <c r="F14" s="37">
        <v>20651600</v>
      </c>
      <c r="G14" s="4">
        <v>3434</v>
      </c>
      <c r="H14" s="17">
        <v>51510000</v>
      </c>
    </row>
    <row r="15" spans="1:8" s="2" customFormat="1" ht="14.25" customHeight="1" x14ac:dyDescent="0.25">
      <c r="A15" s="870"/>
      <c r="B15" s="832"/>
      <c r="C15" s="872"/>
      <c r="D15" s="83" t="s">
        <v>156</v>
      </c>
      <c r="E15" s="30">
        <v>2995</v>
      </c>
      <c r="F15" s="37">
        <v>15082500</v>
      </c>
      <c r="G15" s="4">
        <v>3105</v>
      </c>
      <c r="H15" s="17">
        <v>46575000</v>
      </c>
    </row>
    <row r="16" spans="1:8" s="2" customFormat="1" ht="17.25" customHeight="1" x14ac:dyDescent="0.25">
      <c r="A16" s="870"/>
      <c r="B16" s="832"/>
      <c r="C16" s="872"/>
      <c r="D16" s="83" t="s">
        <v>157</v>
      </c>
      <c r="E16" s="30">
        <v>852</v>
      </c>
      <c r="F16" s="37">
        <v>6062000</v>
      </c>
      <c r="G16" s="4">
        <v>951</v>
      </c>
      <c r="H16" s="17">
        <v>14265000</v>
      </c>
    </row>
    <row r="17" spans="1:8" s="2" customFormat="1" ht="14.25" customHeight="1" x14ac:dyDescent="0.25">
      <c r="A17" s="873"/>
      <c r="B17" s="833"/>
      <c r="C17" s="875"/>
      <c r="D17" s="83" t="s">
        <v>158</v>
      </c>
      <c r="E17" s="30">
        <v>884</v>
      </c>
      <c r="F17" s="37">
        <v>6198100</v>
      </c>
      <c r="G17" s="4">
        <v>919</v>
      </c>
      <c r="H17" s="17">
        <v>13785000</v>
      </c>
    </row>
    <row r="18" spans="1:8" s="8" customFormat="1" ht="5.25" customHeight="1" x14ac:dyDescent="0.25">
      <c r="A18" s="122"/>
      <c r="B18" s="122"/>
      <c r="C18" s="122"/>
      <c r="D18" s="122"/>
      <c r="E18" s="122"/>
      <c r="F18" s="173"/>
      <c r="G18" s="122"/>
      <c r="H18" s="122"/>
    </row>
    <row r="19" spans="1:8" s="9" customFormat="1" ht="21.75" customHeight="1" x14ac:dyDescent="0.25">
      <c r="A19" s="870" t="s">
        <v>61</v>
      </c>
      <c r="B19" s="831" t="s">
        <v>62</v>
      </c>
      <c r="C19" s="872" t="s">
        <v>21</v>
      </c>
      <c r="D19" s="70" t="s">
        <v>80</v>
      </c>
      <c r="E19" s="70">
        <f>SUM(E20:E21)</f>
        <v>24</v>
      </c>
      <c r="F19" s="84">
        <f>SUM(F20:F21)</f>
        <v>121100</v>
      </c>
      <c r="G19" s="70">
        <f>SUM(G20:G21)</f>
        <v>0</v>
      </c>
      <c r="H19" s="71">
        <f>SUM(H20:H21)</f>
        <v>0</v>
      </c>
    </row>
    <row r="20" spans="1:8" s="3" customFormat="1" ht="21" customHeight="1" x14ac:dyDescent="0.25">
      <c r="A20" s="870"/>
      <c r="B20" s="832"/>
      <c r="C20" s="872"/>
      <c r="D20" s="83" t="s">
        <v>153</v>
      </c>
      <c r="E20" s="30">
        <v>17</v>
      </c>
      <c r="F20" s="37">
        <v>88500</v>
      </c>
      <c r="G20" s="4"/>
      <c r="H20" s="17"/>
    </row>
    <row r="21" spans="1:8" s="2" customFormat="1" ht="58.5" customHeight="1" x14ac:dyDescent="0.25">
      <c r="A21" s="873"/>
      <c r="B21" s="832"/>
      <c r="C21" s="875"/>
      <c r="D21" s="195" t="s">
        <v>157</v>
      </c>
      <c r="E21" s="233">
        <v>7</v>
      </c>
      <c r="F21" s="234">
        <v>32600</v>
      </c>
      <c r="G21" s="196"/>
      <c r="H21" s="197"/>
    </row>
    <row r="22" spans="1:8" s="8" customFormat="1" ht="5.25" customHeight="1" x14ac:dyDescent="0.25">
      <c r="A22" s="7"/>
      <c r="B22" s="7"/>
      <c r="C22" s="7"/>
      <c r="D22" s="7"/>
      <c r="E22" s="7"/>
      <c r="F22" s="93"/>
      <c r="G22" s="7"/>
      <c r="H22" s="7"/>
    </row>
    <row r="23" spans="1:8" s="9" customFormat="1" ht="18.75" customHeight="1" x14ac:dyDescent="0.25">
      <c r="A23" s="869" t="s">
        <v>7</v>
      </c>
      <c r="B23" s="832" t="s">
        <v>52</v>
      </c>
      <c r="C23" s="871" t="s">
        <v>53</v>
      </c>
      <c r="D23" s="70" t="s">
        <v>80</v>
      </c>
      <c r="E23" s="70">
        <f>SUM(E24:E29)</f>
        <v>437</v>
      </c>
      <c r="F23" s="84">
        <f>SUM(F24:F29)</f>
        <v>2819000</v>
      </c>
      <c r="G23" s="70">
        <f>SUM(G24:G29)</f>
        <v>350</v>
      </c>
      <c r="H23" s="71">
        <f>SUM(H24:H29)</f>
        <v>2500000</v>
      </c>
    </row>
    <row r="24" spans="1:8" s="3" customFormat="1" ht="20.25" customHeight="1" x14ac:dyDescent="0.25">
      <c r="A24" s="870"/>
      <c r="B24" s="832"/>
      <c r="C24" s="872"/>
      <c r="D24" s="83" t="s">
        <v>153</v>
      </c>
      <c r="E24" s="30">
        <f>227+145</f>
        <v>372</v>
      </c>
      <c r="F24" s="37">
        <f>1652000+802000</f>
        <v>2454000</v>
      </c>
      <c r="G24" s="4">
        <v>150</v>
      </c>
      <c r="H24" s="17">
        <v>1300000</v>
      </c>
    </row>
    <row r="25" spans="1:8" s="2" customFormat="1" ht="14.25" customHeight="1" x14ac:dyDescent="0.25">
      <c r="A25" s="870"/>
      <c r="B25" s="832"/>
      <c r="C25" s="872"/>
      <c r="D25" s="83" t="s">
        <v>154</v>
      </c>
      <c r="E25" s="30">
        <f>3</f>
        <v>3</v>
      </c>
      <c r="F25" s="37">
        <f>30000</f>
        <v>30000</v>
      </c>
      <c r="G25" s="4">
        <v>50</v>
      </c>
      <c r="H25" s="17">
        <v>300000</v>
      </c>
    </row>
    <row r="26" spans="1:8" s="2" customFormat="1" ht="14.25" customHeight="1" x14ac:dyDescent="0.25">
      <c r="A26" s="870"/>
      <c r="B26" s="832"/>
      <c r="C26" s="872"/>
      <c r="D26" s="83" t="s">
        <v>155</v>
      </c>
      <c r="E26" s="30">
        <f>5</f>
        <v>5</v>
      </c>
      <c r="F26" s="37">
        <f>40000</f>
        <v>40000</v>
      </c>
      <c r="G26" s="4">
        <v>25</v>
      </c>
      <c r="H26" s="17">
        <v>150000</v>
      </c>
    </row>
    <row r="27" spans="1:8" s="2" customFormat="1" ht="14.25" customHeight="1" x14ac:dyDescent="0.25">
      <c r="A27" s="870"/>
      <c r="B27" s="832"/>
      <c r="C27" s="872"/>
      <c r="D27" s="83" t="s">
        <v>156</v>
      </c>
      <c r="E27" s="30">
        <f>1+1</f>
        <v>2</v>
      </c>
      <c r="F27" s="37">
        <f>10000+10000</f>
        <v>20000</v>
      </c>
      <c r="G27" s="4">
        <v>50</v>
      </c>
      <c r="H27" s="17">
        <v>300000</v>
      </c>
    </row>
    <row r="28" spans="1:8" s="2" customFormat="1" ht="17.25" customHeight="1" x14ac:dyDescent="0.25">
      <c r="A28" s="870"/>
      <c r="B28" s="832"/>
      <c r="C28" s="872"/>
      <c r="D28" s="83" t="s">
        <v>157</v>
      </c>
      <c r="E28" s="30">
        <f>50</f>
        <v>50</v>
      </c>
      <c r="F28" s="37">
        <f>250000</f>
        <v>250000</v>
      </c>
      <c r="G28" s="4">
        <v>25</v>
      </c>
      <c r="H28" s="17">
        <v>150000</v>
      </c>
    </row>
    <row r="29" spans="1:8" s="2" customFormat="1" ht="14.25" customHeight="1" x14ac:dyDescent="0.25">
      <c r="A29" s="873"/>
      <c r="B29" s="832"/>
      <c r="C29" s="875"/>
      <c r="D29" s="83" t="s">
        <v>158</v>
      </c>
      <c r="E29" s="30">
        <f>5</f>
        <v>5</v>
      </c>
      <c r="F29" s="37">
        <f>25000</f>
        <v>25000</v>
      </c>
      <c r="G29" s="4">
        <v>50</v>
      </c>
      <c r="H29" s="17">
        <v>300000</v>
      </c>
    </row>
    <row r="30" spans="1:8" s="8" customFormat="1" ht="5.25" customHeight="1" x14ac:dyDescent="0.25">
      <c r="A30" s="7"/>
      <c r="B30" s="7"/>
      <c r="C30" s="7"/>
      <c r="D30" s="7"/>
      <c r="E30" s="7"/>
      <c r="F30" s="93"/>
      <c r="G30" s="7"/>
      <c r="H30" s="7"/>
    </row>
    <row r="31" spans="1:8" s="9" customFormat="1" ht="19.5" customHeight="1" x14ac:dyDescent="0.25">
      <c r="A31" s="869" t="s">
        <v>6</v>
      </c>
      <c r="B31" s="867" t="s">
        <v>54</v>
      </c>
      <c r="C31" s="869" t="s">
        <v>20</v>
      </c>
      <c r="D31" s="70" t="s">
        <v>80</v>
      </c>
      <c r="E31" s="70">
        <f>SUM(E32:E37)</f>
        <v>9361</v>
      </c>
      <c r="F31" s="84">
        <f>SUM(F32:F37)</f>
        <v>11830940</v>
      </c>
      <c r="G31" s="70">
        <f>SUM(G32:G37)</f>
        <v>11368</v>
      </c>
      <c r="H31" s="71">
        <f>SUM(H32:H37)</f>
        <v>17734080</v>
      </c>
    </row>
    <row r="32" spans="1:8" s="3" customFormat="1" ht="21" customHeight="1" x14ac:dyDescent="0.25">
      <c r="A32" s="870"/>
      <c r="B32" s="868"/>
      <c r="C32" s="870"/>
      <c r="D32" s="83" t="s">
        <v>153</v>
      </c>
      <c r="E32" s="30">
        <v>1830</v>
      </c>
      <c r="F32" s="37">
        <v>2876750</v>
      </c>
      <c r="G32" s="4">
        <v>2250</v>
      </c>
      <c r="H32" s="17">
        <v>3510000</v>
      </c>
    </row>
    <row r="33" spans="1:8" s="2" customFormat="1" ht="14.25" customHeight="1" x14ac:dyDescent="0.25">
      <c r="A33" s="870"/>
      <c r="B33" s="868"/>
      <c r="C33" s="870"/>
      <c r="D33" s="83" t="s">
        <v>154</v>
      </c>
      <c r="E33" s="30">
        <v>1933</v>
      </c>
      <c r="F33" s="37">
        <v>3038680</v>
      </c>
      <c r="G33" s="4">
        <v>2400</v>
      </c>
      <c r="H33" s="17">
        <v>3744000</v>
      </c>
    </row>
    <row r="34" spans="1:8" s="2" customFormat="1" ht="14.25" customHeight="1" x14ac:dyDescent="0.25">
      <c r="A34" s="870"/>
      <c r="B34" s="868"/>
      <c r="C34" s="870"/>
      <c r="D34" s="83" t="s">
        <v>155</v>
      </c>
      <c r="E34" s="30">
        <v>2082</v>
      </c>
      <c r="F34" s="37"/>
      <c r="G34" s="4">
        <v>2499</v>
      </c>
      <c r="H34" s="17">
        <v>3898440</v>
      </c>
    </row>
    <row r="35" spans="1:8" s="2" customFormat="1" ht="14.25" customHeight="1" x14ac:dyDescent="0.25">
      <c r="A35" s="870"/>
      <c r="B35" s="868"/>
      <c r="C35" s="870"/>
      <c r="D35" s="83" t="s">
        <v>156</v>
      </c>
      <c r="E35" s="30">
        <f>1891+229</f>
        <v>2120</v>
      </c>
      <c r="F35" s="37">
        <f>2972660+357240</f>
        <v>3329900</v>
      </c>
      <c r="G35" s="4">
        <v>2544</v>
      </c>
      <c r="H35" s="17">
        <v>3968640</v>
      </c>
    </row>
    <row r="36" spans="1:8" s="2" customFormat="1" ht="18" customHeight="1" x14ac:dyDescent="0.25">
      <c r="A36" s="870"/>
      <c r="B36" s="868"/>
      <c r="C36" s="870"/>
      <c r="D36" s="83" t="s">
        <v>157</v>
      </c>
      <c r="E36" s="30">
        <f>741</f>
        <v>741</v>
      </c>
      <c r="F36" s="37">
        <v>1555960</v>
      </c>
      <c r="G36" s="4">
        <v>889</v>
      </c>
      <c r="H36" s="17">
        <v>1386840</v>
      </c>
    </row>
    <row r="37" spans="1:8" s="2" customFormat="1" ht="14.25" customHeight="1" x14ac:dyDescent="0.25">
      <c r="A37" s="873"/>
      <c r="B37" s="874"/>
      <c r="C37" s="873"/>
      <c r="D37" s="83" t="s">
        <v>158</v>
      </c>
      <c r="E37" s="30">
        <v>655</v>
      </c>
      <c r="F37" s="37">
        <v>1029650</v>
      </c>
      <c r="G37" s="4">
        <v>786</v>
      </c>
      <c r="H37" s="17">
        <v>1226160</v>
      </c>
    </row>
    <row r="38" spans="1:8" s="123" customFormat="1" ht="5.25" customHeight="1" x14ac:dyDescent="0.25">
      <c r="F38" s="174"/>
    </row>
    <row r="39" spans="1:8" s="123" customFormat="1" ht="5.25" customHeight="1" x14ac:dyDescent="0.25">
      <c r="F39" s="174"/>
    </row>
    <row r="40" spans="1:8" s="123" customFormat="1" ht="5.25" customHeight="1" x14ac:dyDescent="0.25">
      <c r="F40" s="174"/>
    </row>
    <row r="41" spans="1:8" s="9" customFormat="1" ht="18.75" customHeight="1" x14ac:dyDescent="0.25">
      <c r="A41" s="869" t="s">
        <v>16</v>
      </c>
      <c r="B41" s="869" t="s">
        <v>55</v>
      </c>
      <c r="C41" s="869" t="s">
        <v>19</v>
      </c>
      <c r="D41" s="70" t="s">
        <v>80</v>
      </c>
      <c r="E41" s="70">
        <f>SUM(E42:E47)</f>
        <v>634</v>
      </c>
      <c r="F41" s="84">
        <f>SUM(F42:F47)</f>
        <v>2685000</v>
      </c>
      <c r="G41" s="70">
        <f>SUM(G42:G47)</f>
        <v>1674</v>
      </c>
      <c r="H41" s="71">
        <f>SUM(H42:H47)</f>
        <v>10044000</v>
      </c>
    </row>
    <row r="42" spans="1:8" s="3" customFormat="1" ht="18.75" customHeight="1" x14ac:dyDescent="0.25">
      <c r="A42" s="870"/>
      <c r="B42" s="870"/>
      <c r="C42" s="870"/>
      <c r="D42" s="83" t="s">
        <v>153</v>
      </c>
      <c r="E42" s="30">
        <v>105</v>
      </c>
      <c r="F42" s="37">
        <v>385500</v>
      </c>
      <c r="G42" s="4">
        <v>265</v>
      </c>
      <c r="H42" s="17">
        <v>1590000</v>
      </c>
    </row>
    <row r="43" spans="1:8" s="2" customFormat="1" ht="14.25" customHeight="1" x14ac:dyDescent="0.25">
      <c r="A43" s="870"/>
      <c r="B43" s="870"/>
      <c r="C43" s="870"/>
      <c r="D43" s="83" t="s">
        <v>154</v>
      </c>
      <c r="E43" s="30">
        <v>116</v>
      </c>
      <c r="F43" s="37">
        <v>475500</v>
      </c>
      <c r="G43" s="4">
        <v>296</v>
      </c>
      <c r="H43" s="17">
        <v>1776000</v>
      </c>
    </row>
    <row r="44" spans="1:8" s="2" customFormat="1" ht="14.25" customHeight="1" x14ac:dyDescent="0.25">
      <c r="A44" s="870"/>
      <c r="B44" s="870"/>
      <c r="C44" s="870"/>
      <c r="D44" s="83" t="s">
        <v>155</v>
      </c>
      <c r="E44" s="30">
        <v>136</v>
      </c>
      <c r="F44" s="37">
        <v>609500</v>
      </c>
      <c r="G44" s="4">
        <v>316</v>
      </c>
      <c r="H44" s="17">
        <v>1896000</v>
      </c>
    </row>
    <row r="45" spans="1:8" s="2" customFormat="1" ht="14.25" customHeight="1" x14ac:dyDescent="0.25">
      <c r="A45" s="870"/>
      <c r="B45" s="870"/>
      <c r="C45" s="870"/>
      <c r="D45" s="83" t="s">
        <v>156</v>
      </c>
      <c r="E45" s="30">
        <v>139</v>
      </c>
      <c r="F45" s="37">
        <v>607500</v>
      </c>
      <c r="G45" s="4">
        <v>309</v>
      </c>
      <c r="H45" s="17">
        <v>1854000</v>
      </c>
    </row>
    <row r="46" spans="1:8" s="2" customFormat="1" ht="19.5" customHeight="1" x14ac:dyDescent="0.25">
      <c r="A46" s="870"/>
      <c r="B46" s="870"/>
      <c r="C46" s="870"/>
      <c r="D46" s="83" t="s">
        <v>157</v>
      </c>
      <c r="E46" s="30">
        <v>78</v>
      </c>
      <c r="F46" s="37">
        <v>343000</v>
      </c>
      <c r="G46" s="4">
        <v>238</v>
      </c>
      <c r="H46" s="17">
        <v>1428000</v>
      </c>
    </row>
    <row r="47" spans="1:8" s="2" customFormat="1" ht="14.25" customHeight="1" x14ac:dyDescent="0.25">
      <c r="A47" s="873"/>
      <c r="B47" s="873"/>
      <c r="C47" s="873"/>
      <c r="D47" s="83" t="s">
        <v>158</v>
      </c>
      <c r="E47" s="30">
        <v>60</v>
      </c>
      <c r="F47" s="37">
        <v>264000</v>
      </c>
      <c r="G47" s="4">
        <v>250</v>
      </c>
      <c r="H47" s="17">
        <v>1500000</v>
      </c>
    </row>
    <row r="48" spans="1:8" s="8" customFormat="1" ht="5.25" customHeight="1" x14ac:dyDescent="0.25">
      <c r="A48" s="122"/>
      <c r="B48" s="122"/>
      <c r="C48" s="122"/>
      <c r="D48" s="122"/>
      <c r="E48" s="122"/>
      <c r="F48" s="173"/>
      <c r="G48" s="122"/>
      <c r="H48" s="122"/>
    </row>
    <row r="49" spans="1:8" s="9" customFormat="1" ht="16.5" customHeight="1" x14ac:dyDescent="0.25">
      <c r="A49" s="869" t="s">
        <v>17</v>
      </c>
      <c r="B49" s="876" t="s">
        <v>56</v>
      </c>
      <c r="C49" s="869" t="s">
        <v>18</v>
      </c>
      <c r="D49" s="70" t="s">
        <v>80</v>
      </c>
      <c r="E49" s="70">
        <f>SUM(E50:E55)</f>
        <v>99</v>
      </c>
      <c r="F49" s="84">
        <f>SUM(F50:F55)</f>
        <v>133207.75</v>
      </c>
      <c r="G49" s="70">
        <f>SUM(G50:G55)</f>
        <v>0</v>
      </c>
      <c r="H49" s="71">
        <f>SUM(H50:H55)</f>
        <v>0</v>
      </c>
    </row>
    <row r="50" spans="1:8" s="3" customFormat="1" ht="21" customHeight="1" x14ac:dyDescent="0.25">
      <c r="A50" s="870"/>
      <c r="B50" s="877"/>
      <c r="C50" s="870"/>
      <c r="D50" s="83" t="s">
        <v>153</v>
      </c>
      <c r="E50" s="30">
        <f>4+3+3+2</f>
        <v>12</v>
      </c>
      <c r="F50" s="37">
        <f>6500+1500+4500+550</f>
        <v>13050</v>
      </c>
      <c r="G50" s="4"/>
      <c r="H50" s="17"/>
    </row>
    <row r="51" spans="1:8" s="2" customFormat="1" ht="14.25" customHeight="1" x14ac:dyDescent="0.25">
      <c r="A51" s="870"/>
      <c r="B51" s="877"/>
      <c r="C51" s="870"/>
      <c r="D51" s="83" t="s">
        <v>154</v>
      </c>
      <c r="E51" s="30">
        <f>4+12+6+5+2+1+1</f>
        <v>31</v>
      </c>
      <c r="F51" s="37">
        <f>5500+13666+8500+4750+10000+2000+500</f>
        <v>44916</v>
      </c>
      <c r="G51" s="4"/>
      <c r="H51" s="17"/>
    </row>
    <row r="52" spans="1:8" s="2" customFormat="1" ht="14.25" customHeight="1" x14ac:dyDescent="0.25">
      <c r="A52" s="870"/>
      <c r="B52" s="877"/>
      <c r="C52" s="870"/>
      <c r="D52" s="83" t="s">
        <v>155</v>
      </c>
      <c r="E52" s="30">
        <f>8+11+5+3+2+4</f>
        <v>33</v>
      </c>
      <c r="F52" s="37">
        <f>12500+13500+7500+3000+4000+3593.75</f>
        <v>44093.75</v>
      </c>
      <c r="G52" s="4"/>
      <c r="H52" s="17"/>
    </row>
    <row r="53" spans="1:8" s="2" customFormat="1" ht="14.25" customHeight="1" x14ac:dyDescent="0.25">
      <c r="A53" s="870"/>
      <c r="B53" s="877"/>
      <c r="C53" s="870"/>
      <c r="D53" s="83" t="s">
        <v>156</v>
      </c>
      <c r="E53" s="30">
        <f>2+8+5+1</f>
        <v>16</v>
      </c>
      <c r="F53" s="37">
        <f>4500+9500+9000+1500</f>
        <v>24500</v>
      </c>
      <c r="G53" s="4"/>
      <c r="H53" s="17"/>
    </row>
    <row r="54" spans="1:8" s="2" customFormat="1" ht="15.75" customHeight="1" x14ac:dyDescent="0.25">
      <c r="A54" s="870"/>
      <c r="B54" s="877"/>
      <c r="C54" s="870"/>
      <c r="D54" s="83" t="s">
        <v>157</v>
      </c>
      <c r="E54" s="30">
        <f>1+1+1</f>
        <v>3</v>
      </c>
      <c r="F54" s="37">
        <f>1500+1000+100</f>
        <v>2600</v>
      </c>
      <c r="G54" s="4"/>
      <c r="H54" s="17"/>
    </row>
    <row r="55" spans="1:8" s="2" customFormat="1" ht="14.25" customHeight="1" x14ac:dyDescent="0.25">
      <c r="A55" s="873"/>
      <c r="B55" s="878"/>
      <c r="C55" s="873"/>
      <c r="D55" s="83" t="s">
        <v>158</v>
      </c>
      <c r="E55" s="30">
        <f>1+2+1</f>
        <v>4</v>
      </c>
      <c r="F55" s="37">
        <f>1000+3000+48</f>
        <v>4048</v>
      </c>
      <c r="G55" s="4"/>
      <c r="H55" s="17"/>
    </row>
    <row r="56" spans="1:8" s="8" customFormat="1" ht="5.25" customHeight="1" x14ac:dyDescent="0.25">
      <c r="A56" s="7"/>
      <c r="B56" s="7"/>
      <c r="C56" s="7"/>
      <c r="D56" s="7"/>
      <c r="E56" s="7"/>
      <c r="F56" s="93"/>
      <c r="G56" s="7"/>
      <c r="H56" s="7"/>
    </row>
    <row r="57" spans="1:8" s="9" customFormat="1" ht="34.5" hidden="1" customHeight="1" x14ac:dyDescent="0.25">
      <c r="A57" s="6" t="s">
        <v>22</v>
      </c>
      <c r="B57" s="831" t="s">
        <v>57</v>
      </c>
      <c r="C57" s="6" t="s">
        <v>37</v>
      </c>
      <c r="D57" s="6"/>
      <c r="E57" s="42">
        <f>SUM(E58:E63)</f>
        <v>227</v>
      </c>
      <c r="F57" s="94">
        <f>SUM(F58:F63)</f>
        <v>562960</v>
      </c>
      <c r="G57" s="6"/>
      <c r="H57" s="6"/>
    </row>
    <row r="58" spans="1:8" s="1" customFormat="1" ht="15" hidden="1" customHeight="1" x14ac:dyDescent="0.25">
      <c r="A58" s="972" t="s">
        <v>35</v>
      </c>
      <c r="B58" s="832"/>
      <c r="C58" s="5"/>
      <c r="D58" s="4" t="s">
        <v>42</v>
      </c>
      <c r="E58" s="44"/>
      <c r="F58" s="41"/>
      <c r="G58" s="5"/>
      <c r="H58" s="4" t="s">
        <v>8</v>
      </c>
    </row>
    <row r="59" spans="1:8" s="1" customFormat="1" ht="15" hidden="1" customHeight="1" x14ac:dyDescent="0.25">
      <c r="A59" s="918"/>
      <c r="B59" s="833"/>
      <c r="C59" s="5"/>
      <c r="D59" s="4" t="s">
        <v>43</v>
      </c>
      <c r="E59" s="44"/>
      <c r="F59" s="38"/>
      <c r="G59" s="5"/>
      <c r="H59" s="4" t="s">
        <v>9</v>
      </c>
    </row>
    <row r="60" spans="1:8" s="1" customFormat="1" ht="15" hidden="1" customHeight="1" x14ac:dyDescent="0.25">
      <c r="A60" s="918"/>
      <c r="B60" s="211"/>
      <c r="C60" s="5"/>
      <c r="D60" s="4" t="s">
        <v>44</v>
      </c>
      <c r="E60" s="45">
        <v>227</v>
      </c>
      <c r="F60" s="39">
        <v>562960</v>
      </c>
      <c r="G60" s="5"/>
      <c r="H60" s="4" t="s">
        <v>10</v>
      </c>
    </row>
    <row r="61" spans="1:8" s="1" customFormat="1" ht="15" hidden="1" customHeight="1" x14ac:dyDescent="0.25">
      <c r="A61" s="918"/>
      <c r="B61" s="211"/>
      <c r="C61" s="5"/>
      <c r="D61" s="4" t="s">
        <v>45</v>
      </c>
      <c r="E61" s="44"/>
      <c r="F61" s="39"/>
      <c r="G61" s="5"/>
      <c r="H61" s="4" t="s">
        <v>11</v>
      </c>
    </row>
    <row r="62" spans="1:8" s="1" customFormat="1" ht="15" hidden="1" customHeight="1" x14ac:dyDescent="0.25">
      <c r="A62" s="918"/>
      <c r="B62" s="211"/>
      <c r="C62" s="5"/>
      <c r="D62" s="4" t="s">
        <v>46</v>
      </c>
      <c r="E62" s="44"/>
      <c r="F62" s="39"/>
      <c r="G62" s="5"/>
      <c r="H62" s="4" t="s">
        <v>12</v>
      </c>
    </row>
    <row r="63" spans="1:8" s="1" customFormat="1" ht="15" hidden="1" customHeight="1" x14ac:dyDescent="0.25">
      <c r="A63" s="918"/>
      <c r="B63" s="211"/>
      <c r="C63" s="5"/>
      <c r="D63" s="4" t="s">
        <v>47</v>
      </c>
      <c r="E63" s="44"/>
      <c r="F63" s="40"/>
      <c r="G63" s="5"/>
      <c r="H63" s="4" t="s">
        <v>13</v>
      </c>
    </row>
    <row r="64" spans="1:8" s="8" customFormat="1" ht="8.25" hidden="1" customHeight="1" x14ac:dyDescent="0.25">
      <c r="A64" s="7"/>
      <c r="B64" s="7"/>
      <c r="C64" s="7"/>
      <c r="D64" s="7"/>
      <c r="E64" s="7"/>
      <c r="F64" s="93"/>
      <c r="G64" s="7"/>
      <c r="H64" s="7"/>
    </row>
    <row r="65" spans="1:9" s="9" customFormat="1" ht="20.25" customHeight="1" x14ac:dyDescent="0.25">
      <c r="A65" s="869" t="s">
        <v>23</v>
      </c>
      <c r="B65" s="867" t="s">
        <v>58</v>
      </c>
      <c r="C65" s="869" t="s">
        <v>24</v>
      </c>
      <c r="D65" s="70" t="s">
        <v>80</v>
      </c>
      <c r="E65" s="70">
        <f>SUM(E66:E71)</f>
        <v>3471</v>
      </c>
      <c r="F65" s="84">
        <f>SUM(F66:F71)</f>
        <v>1038648.5000000001</v>
      </c>
      <c r="G65" s="70">
        <f>SUM(G66:G71)</f>
        <v>0</v>
      </c>
      <c r="H65" s="71">
        <f>SUM(H66:H71)</f>
        <v>0</v>
      </c>
      <c r="I65" s="66"/>
    </row>
    <row r="66" spans="1:9" s="3" customFormat="1" ht="20.25" customHeight="1" x14ac:dyDescent="0.25">
      <c r="A66" s="870"/>
      <c r="B66" s="868"/>
      <c r="C66" s="870"/>
      <c r="D66" s="83" t="s">
        <v>153</v>
      </c>
      <c r="E66" s="30">
        <v>46</v>
      </c>
      <c r="F66" s="37">
        <v>11587.68</v>
      </c>
      <c r="G66" s="4"/>
      <c r="H66" s="17"/>
    </row>
    <row r="67" spans="1:9" s="2" customFormat="1" ht="14.25" customHeight="1" x14ac:dyDescent="0.25">
      <c r="A67" s="870"/>
      <c r="B67" s="868"/>
      <c r="C67" s="870"/>
      <c r="D67" s="83" t="s">
        <v>154</v>
      </c>
      <c r="E67" s="30">
        <v>2000</v>
      </c>
      <c r="F67" s="37">
        <v>606998.56000000006</v>
      </c>
      <c r="G67" s="4"/>
      <c r="H67" s="17"/>
    </row>
    <row r="68" spans="1:9" s="2" customFormat="1" ht="14.25" customHeight="1" x14ac:dyDescent="0.25">
      <c r="A68" s="870"/>
      <c r="B68" s="868"/>
      <c r="C68" s="870"/>
      <c r="D68" s="83" t="s">
        <v>155</v>
      </c>
      <c r="E68" s="30">
        <v>1000</v>
      </c>
      <c r="F68" s="37">
        <v>313376.14</v>
      </c>
      <c r="G68" s="4"/>
      <c r="H68" s="17"/>
    </row>
    <row r="69" spans="1:9" s="2" customFormat="1" ht="14.25" customHeight="1" x14ac:dyDescent="0.25">
      <c r="A69" s="870"/>
      <c r="B69" s="868"/>
      <c r="C69" s="870"/>
      <c r="D69" s="83" t="s">
        <v>156</v>
      </c>
      <c r="E69" s="30">
        <v>71</v>
      </c>
      <c r="F69" s="37">
        <v>17960.78</v>
      </c>
      <c r="G69" s="4"/>
      <c r="H69" s="17"/>
    </row>
    <row r="70" spans="1:9" s="2" customFormat="1" ht="14.25" customHeight="1" x14ac:dyDescent="0.25">
      <c r="A70" s="870"/>
      <c r="B70" s="868"/>
      <c r="C70" s="870"/>
      <c r="D70" s="83" t="s">
        <v>157</v>
      </c>
      <c r="E70" s="30">
        <v>249</v>
      </c>
      <c r="F70" s="37">
        <v>62251.34</v>
      </c>
      <c r="G70" s="4"/>
      <c r="H70" s="17"/>
    </row>
    <row r="71" spans="1:9" s="2" customFormat="1" ht="15.75" customHeight="1" x14ac:dyDescent="0.25">
      <c r="A71" s="873"/>
      <c r="B71" s="874"/>
      <c r="C71" s="873"/>
      <c r="D71" s="83" t="s">
        <v>158</v>
      </c>
      <c r="E71" s="30">
        <v>105</v>
      </c>
      <c r="F71" s="37">
        <v>26474</v>
      </c>
      <c r="G71" s="4"/>
      <c r="H71" s="17"/>
    </row>
    <row r="72" spans="1:9" s="8" customFormat="1" ht="5.25" customHeight="1" x14ac:dyDescent="0.25">
      <c r="A72" s="7"/>
      <c r="B72" s="7"/>
      <c r="C72" s="7"/>
      <c r="D72" s="7"/>
      <c r="E72" s="7"/>
      <c r="F72" s="93"/>
      <c r="G72" s="7"/>
      <c r="H72" s="7"/>
    </row>
    <row r="73" spans="1:9" s="9" customFormat="1" ht="30" hidden="1" customHeight="1" x14ac:dyDescent="0.25">
      <c r="A73" s="214" t="s">
        <v>63</v>
      </c>
      <c r="B73" s="831" t="s">
        <v>64</v>
      </c>
      <c r="C73" s="6" t="s">
        <v>65</v>
      </c>
      <c r="D73" s="155" t="s">
        <v>81</v>
      </c>
      <c r="E73" s="161" t="e">
        <f>SUM(#REF!)</f>
        <v>#REF!</v>
      </c>
      <c r="F73" s="158" t="e">
        <f>SUM(#REF!)</f>
        <v>#REF!</v>
      </c>
      <c r="G73" s="63" t="e">
        <f>#REF!+#REF!</f>
        <v>#REF!</v>
      </c>
      <c r="H73" s="78" t="e">
        <f>#REF!+#REF!</f>
        <v>#REF!</v>
      </c>
    </row>
    <row r="74" spans="1:9" s="3" customFormat="1" ht="27.75" hidden="1" customHeight="1" x14ac:dyDescent="0.25">
      <c r="A74" s="6"/>
      <c r="B74" s="879"/>
      <c r="C74" s="6"/>
      <c r="D74" s="70" t="s">
        <v>79</v>
      </c>
      <c r="E74" s="70">
        <f>SUM(E75:E77)</f>
        <v>0</v>
      </c>
      <c r="F74" s="84">
        <f>SUM(F75:F77)</f>
        <v>0</v>
      </c>
      <c r="G74" s="70">
        <f>SUM(G75:G77)</f>
        <v>0</v>
      </c>
      <c r="H74" s="71">
        <f>SUM(H75:H77)</f>
        <v>0</v>
      </c>
    </row>
    <row r="75" spans="1:9" s="2" customFormat="1" ht="14.25" hidden="1" customHeight="1" x14ac:dyDescent="0.25">
      <c r="A75" s="18"/>
      <c r="B75" s="879"/>
      <c r="C75" s="6"/>
      <c r="D75" s="83" t="s">
        <v>150</v>
      </c>
      <c r="E75" s="30"/>
      <c r="F75" s="37"/>
      <c r="G75" s="4"/>
      <c r="H75" s="17"/>
    </row>
    <row r="76" spans="1:9" s="2" customFormat="1" ht="14.25" hidden="1" customHeight="1" x14ac:dyDescent="0.25">
      <c r="A76" s="972"/>
      <c r="B76" s="879"/>
      <c r="C76" s="6"/>
      <c r="D76" s="83" t="s">
        <v>151</v>
      </c>
      <c r="E76" s="30"/>
      <c r="F76" s="37"/>
      <c r="G76" s="4"/>
      <c r="H76" s="17"/>
    </row>
    <row r="77" spans="1:9" s="2" customFormat="1" ht="14.25" hidden="1" customHeight="1" x14ac:dyDescent="0.25">
      <c r="A77" s="918"/>
      <c r="B77" s="879"/>
      <c r="C77" s="6"/>
      <c r="D77" s="83" t="s">
        <v>152</v>
      </c>
      <c r="E77" s="30"/>
      <c r="F77" s="37"/>
      <c r="G77" s="4"/>
      <c r="H77" s="17"/>
    </row>
    <row r="78" spans="1:9" s="2" customFormat="1" ht="24" hidden="1" customHeight="1" x14ac:dyDescent="0.25">
      <c r="A78" s="211"/>
      <c r="B78" s="879"/>
      <c r="C78" s="6"/>
      <c r="D78" s="70" t="s">
        <v>80</v>
      </c>
      <c r="E78" s="70">
        <f>SUM(E79:E84)</f>
        <v>0</v>
      </c>
      <c r="F78" s="84">
        <f>SUM(F79:F84)</f>
        <v>0</v>
      </c>
      <c r="G78" s="70">
        <f>SUM(G79:G84)</f>
        <v>0</v>
      </c>
      <c r="H78" s="71">
        <f>SUM(H79:H84)</f>
        <v>0</v>
      </c>
    </row>
    <row r="79" spans="1:9" s="2" customFormat="1" ht="14.25" hidden="1" customHeight="1" x14ac:dyDescent="0.25">
      <c r="A79" s="211"/>
      <c r="B79" s="879"/>
      <c r="C79" s="6"/>
      <c r="D79" s="83" t="s">
        <v>153</v>
      </c>
      <c r="E79" s="30"/>
      <c r="F79" s="37"/>
      <c r="G79" s="4"/>
      <c r="H79" s="17"/>
    </row>
    <row r="80" spans="1:9" s="2" customFormat="1" ht="14.25" hidden="1" customHeight="1" x14ac:dyDescent="0.25">
      <c r="A80" s="211"/>
      <c r="B80" s="879"/>
      <c r="C80" s="6"/>
      <c r="D80" s="83" t="s">
        <v>154</v>
      </c>
      <c r="E80" s="30"/>
      <c r="F80" s="37"/>
      <c r="G80" s="4"/>
      <c r="H80" s="17"/>
    </row>
    <row r="81" spans="1:8" s="2" customFormat="1" ht="14.25" hidden="1" customHeight="1" x14ac:dyDescent="0.25">
      <c r="A81" s="211"/>
      <c r="B81" s="879"/>
      <c r="C81" s="6"/>
      <c r="D81" s="83" t="s">
        <v>155</v>
      </c>
      <c r="E81" s="30"/>
      <c r="F81" s="37"/>
      <c r="G81" s="4"/>
      <c r="H81" s="17"/>
    </row>
    <row r="82" spans="1:8" s="2" customFormat="1" ht="14.25" hidden="1" customHeight="1" x14ac:dyDescent="0.25">
      <c r="A82" s="211"/>
      <c r="B82" s="879"/>
      <c r="C82" s="6"/>
      <c r="D82" s="83" t="s">
        <v>156</v>
      </c>
      <c r="E82" s="30"/>
      <c r="F82" s="37"/>
      <c r="G82" s="4"/>
      <c r="H82" s="17"/>
    </row>
    <row r="83" spans="1:8" s="2" customFormat="1" ht="14.25" hidden="1" customHeight="1" x14ac:dyDescent="0.25">
      <c r="A83" s="211"/>
      <c r="B83" s="879"/>
      <c r="C83" s="6"/>
      <c r="D83" s="83" t="s">
        <v>157</v>
      </c>
      <c r="E83" s="30"/>
      <c r="F83" s="37"/>
      <c r="G83" s="4"/>
      <c r="H83" s="17"/>
    </row>
    <row r="84" spans="1:8" s="2" customFormat="1" ht="14.25" hidden="1" customHeight="1" x14ac:dyDescent="0.25">
      <c r="A84" s="211"/>
      <c r="B84" s="879"/>
      <c r="C84" s="6"/>
      <c r="D84" s="83" t="s">
        <v>158</v>
      </c>
      <c r="E84" s="30"/>
      <c r="F84" s="37"/>
      <c r="G84" s="4"/>
      <c r="H84" s="17"/>
    </row>
    <row r="85" spans="1:8" s="2" customFormat="1" ht="24" hidden="1" customHeight="1" x14ac:dyDescent="0.25">
      <c r="A85" s="211"/>
      <c r="B85" s="879"/>
      <c r="C85" s="6"/>
      <c r="D85" s="70" t="s">
        <v>97</v>
      </c>
      <c r="E85" s="70">
        <f>SUM(E86:E90)</f>
        <v>0</v>
      </c>
      <c r="F85" s="84">
        <f>SUM(F86:F90)</f>
        <v>0</v>
      </c>
      <c r="G85" s="70">
        <f>SUM(G86:G90)</f>
        <v>0</v>
      </c>
      <c r="H85" s="71">
        <f>SUM(H86:H90)</f>
        <v>0</v>
      </c>
    </row>
    <row r="86" spans="1:8" s="2" customFormat="1" ht="14.25" hidden="1" customHeight="1" x14ac:dyDescent="0.25">
      <c r="A86" s="211"/>
      <c r="B86" s="879"/>
      <c r="C86" s="6"/>
      <c r="D86" s="83" t="s">
        <v>159</v>
      </c>
      <c r="E86" s="30"/>
      <c r="F86" s="37"/>
      <c r="G86" s="4"/>
      <c r="H86" s="17"/>
    </row>
    <row r="87" spans="1:8" s="2" customFormat="1" ht="14.25" hidden="1" customHeight="1" x14ac:dyDescent="0.25">
      <c r="A87" s="211"/>
      <c r="B87" s="879"/>
      <c r="C87" s="6"/>
      <c r="D87" s="83" t="s">
        <v>160</v>
      </c>
      <c r="E87" s="30"/>
      <c r="F87" s="37"/>
      <c r="G87" s="4"/>
      <c r="H87" s="17"/>
    </row>
    <row r="88" spans="1:8" s="2" customFormat="1" ht="14.25" hidden="1" customHeight="1" x14ac:dyDescent="0.25">
      <c r="A88" s="211"/>
      <c r="B88" s="879"/>
      <c r="C88" s="6"/>
      <c r="D88" s="83" t="s">
        <v>161</v>
      </c>
      <c r="E88" s="30"/>
      <c r="F88" s="37"/>
      <c r="G88" s="4"/>
      <c r="H88" s="17"/>
    </row>
    <row r="89" spans="1:8" s="2" customFormat="1" ht="14.25" hidden="1" customHeight="1" x14ac:dyDescent="0.25">
      <c r="A89" s="211"/>
      <c r="B89" s="879"/>
      <c r="C89" s="6"/>
      <c r="D89" s="83" t="s">
        <v>162</v>
      </c>
      <c r="E89" s="30"/>
      <c r="F89" s="37"/>
      <c r="G89" s="4"/>
      <c r="H89" s="17"/>
    </row>
    <row r="90" spans="1:8" s="2" customFormat="1" ht="14.25" hidden="1" customHeight="1" x14ac:dyDescent="0.25">
      <c r="A90" s="211"/>
      <c r="B90" s="879"/>
      <c r="C90" s="6"/>
      <c r="D90" s="86" t="s">
        <v>163</v>
      </c>
      <c r="E90" s="30"/>
      <c r="F90" s="37"/>
      <c r="G90" s="4"/>
      <c r="H90" s="17"/>
    </row>
    <row r="91" spans="1:8" s="2" customFormat="1" ht="24" hidden="1" customHeight="1" x14ac:dyDescent="0.25">
      <c r="A91" s="211"/>
      <c r="B91" s="879"/>
      <c r="C91" s="6"/>
      <c r="D91" s="70" t="s">
        <v>98</v>
      </c>
      <c r="E91" s="70">
        <f>SUM(E92:E99)</f>
        <v>0</v>
      </c>
      <c r="F91" s="84">
        <f>SUM(F92:F99)</f>
        <v>0</v>
      </c>
      <c r="G91" s="70">
        <f>SUM(G92:G99)</f>
        <v>0</v>
      </c>
      <c r="H91" s="71">
        <f>SUM(H92:H99)</f>
        <v>0</v>
      </c>
    </row>
    <row r="92" spans="1:8" s="2" customFormat="1" ht="14.25" hidden="1" customHeight="1" x14ac:dyDescent="0.25">
      <c r="A92" s="211"/>
      <c r="B92" s="879"/>
      <c r="C92" s="6"/>
      <c r="D92" s="83" t="s">
        <v>164</v>
      </c>
      <c r="E92" s="30"/>
      <c r="F92" s="37"/>
      <c r="G92" s="4"/>
      <c r="H92" s="17"/>
    </row>
    <row r="93" spans="1:8" s="2" customFormat="1" ht="14.25" hidden="1" customHeight="1" x14ac:dyDescent="0.25">
      <c r="A93" s="211"/>
      <c r="B93" s="879"/>
      <c r="C93" s="6"/>
      <c r="D93" s="83" t="s">
        <v>165</v>
      </c>
      <c r="E93" s="30"/>
      <c r="F93" s="37"/>
      <c r="G93" s="4"/>
      <c r="H93" s="17"/>
    </row>
    <row r="94" spans="1:8" s="2" customFormat="1" ht="14.25" hidden="1" customHeight="1" x14ac:dyDescent="0.25">
      <c r="A94" s="211"/>
      <c r="B94" s="879"/>
      <c r="C94" s="6"/>
      <c r="D94" s="83" t="s">
        <v>166</v>
      </c>
      <c r="E94" s="30"/>
      <c r="F94" s="37"/>
      <c r="G94" s="4"/>
      <c r="H94" s="17"/>
    </row>
    <row r="95" spans="1:8" s="2" customFormat="1" ht="14.25" hidden="1" customHeight="1" x14ac:dyDescent="0.25">
      <c r="A95" s="211"/>
      <c r="B95" s="879"/>
      <c r="C95" s="6"/>
      <c r="D95" s="83" t="s">
        <v>167</v>
      </c>
      <c r="E95" s="30"/>
      <c r="F95" s="37"/>
      <c r="G95" s="4"/>
      <c r="H95" s="17"/>
    </row>
    <row r="96" spans="1:8" s="2" customFormat="1" ht="14.25" hidden="1" customHeight="1" x14ac:dyDescent="0.25">
      <c r="A96" s="211"/>
      <c r="B96" s="879"/>
      <c r="C96" s="6"/>
      <c r="D96" s="83" t="s">
        <v>168</v>
      </c>
      <c r="E96" s="30"/>
      <c r="F96" s="37"/>
      <c r="G96" s="4"/>
      <c r="H96" s="17"/>
    </row>
    <row r="97" spans="1:8" s="2" customFormat="1" ht="14.25" hidden="1" customHeight="1" x14ac:dyDescent="0.25">
      <c r="A97" s="211"/>
      <c r="B97" s="879"/>
      <c r="C97" s="6"/>
      <c r="D97" s="83" t="s">
        <v>169</v>
      </c>
      <c r="E97" s="30"/>
      <c r="F97" s="37"/>
      <c r="G97" s="4"/>
      <c r="H97" s="17"/>
    </row>
    <row r="98" spans="1:8" s="2" customFormat="1" ht="14.25" hidden="1" customHeight="1" x14ac:dyDescent="0.25">
      <c r="A98" s="211"/>
      <c r="B98" s="879"/>
      <c r="C98" s="6"/>
      <c r="D98" s="83" t="s">
        <v>170</v>
      </c>
      <c r="E98" s="30"/>
      <c r="F98" s="37"/>
      <c r="G98" s="4"/>
      <c r="H98" s="17"/>
    </row>
    <row r="99" spans="1:8" s="2" customFormat="1" ht="14.25" hidden="1" customHeight="1" x14ac:dyDescent="0.25">
      <c r="A99" s="211"/>
      <c r="B99" s="879"/>
      <c r="C99" s="6"/>
      <c r="D99" s="83" t="s">
        <v>171</v>
      </c>
      <c r="E99" s="30"/>
      <c r="F99" s="37"/>
      <c r="G99" s="4"/>
      <c r="H99" s="17"/>
    </row>
    <row r="100" spans="1:8" s="8" customFormat="1" ht="5.25" hidden="1" customHeight="1" x14ac:dyDescent="0.25">
      <c r="A100" s="7"/>
      <c r="B100" s="7"/>
      <c r="C100" s="7"/>
      <c r="D100" s="7"/>
      <c r="E100" s="7"/>
      <c r="F100" s="93"/>
      <c r="G100" s="7"/>
      <c r="H100" s="7"/>
    </row>
    <row r="101" spans="1:8" s="9" customFormat="1" ht="19.5" customHeight="1" x14ac:dyDescent="0.25">
      <c r="A101" s="869" t="s">
        <v>67</v>
      </c>
      <c r="B101" s="831" t="s">
        <v>68</v>
      </c>
      <c r="C101" s="869" t="s">
        <v>65</v>
      </c>
      <c r="D101" s="70" t="s">
        <v>80</v>
      </c>
      <c r="E101" s="70">
        <f>SUM(E102:E102)</f>
        <v>450</v>
      </c>
      <c r="F101" s="84">
        <f>SUM(F102:F102)</f>
        <v>111375.5</v>
      </c>
      <c r="G101" s="70">
        <f>SUM(G102:G102)</f>
        <v>0</v>
      </c>
      <c r="H101" s="71">
        <f>SUM(H102:H102)</f>
        <v>0</v>
      </c>
    </row>
    <row r="102" spans="1:8" s="2" customFormat="1" ht="98.25" customHeight="1" x14ac:dyDescent="0.25">
      <c r="A102" s="873"/>
      <c r="B102" s="833"/>
      <c r="C102" s="873"/>
      <c r="D102" s="195" t="s">
        <v>154</v>
      </c>
      <c r="E102" s="233">
        <f>350+100</f>
        <v>450</v>
      </c>
      <c r="F102" s="234">
        <f>86625.5+24750</f>
        <v>111375.5</v>
      </c>
      <c r="G102" s="196"/>
      <c r="H102" s="197"/>
    </row>
    <row r="103" spans="1:8" x14ac:dyDescent="0.25">
      <c r="A103" t="s">
        <v>26</v>
      </c>
      <c r="B103" t="s">
        <v>28</v>
      </c>
      <c r="D103" t="s">
        <v>31</v>
      </c>
      <c r="F103"/>
    </row>
    <row r="104" spans="1:8" x14ac:dyDescent="0.25">
      <c r="F104"/>
    </row>
    <row r="105" spans="1:8" x14ac:dyDescent="0.25">
      <c r="A105" t="s">
        <v>27</v>
      </c>
      <c r="B105" t="s">
        <v>29</v>
      </c>
      <c r="D105" t="s">
        <v>32</v>
      </c>
      <c r="F105"/>
    </row>
    <row r="106" spans="1:8" x14ac:dyDescent="0.25">
      <c r="A106" t="s">
        <v>223</v>
      </c>
      <c r="B106" t="s">
        <v>30</v>
      </c>
      <c r="D106" t="s">
        <v>33</v>
      </c>
      <c r="F106"/>
    </row>
  </sheetData>
  <mergeCells count="39">
    <mergeCell ref="C101:C102"/>
    <mergeCell ref="C31:C37"/>
    <mergeCell ref="A41:A47"/>
    <mergeCell ref="B41:B47"/>
    <mergeCell ref="C41:C47"/>
    <mergeCell ref="A49:A55"/>
    <mergeCell ref="C49:C55"/>
    <mergeCell ref="B73:B99"/>
    <mergeCell ref="A76:A77"/>
    <mergeCell ref="A101:A102"/>
    <mergeCell ref="B101:B102"/>
    <mergeCell ref="B57:B59"/>
    <mergeCell ref="A58:A63"/>
    <mergeCell ref="B65:B71"/>
    <mergeCell ref="A65:A71"/>
    <mergeCell ref="C65:C71"/>
    <mergeCell ref="B49:B55"/>
    <mergeCell ref="B23:B29"/>
    <mergeCell ref="A31:A37"/>
    <mergeCell ref="B31:B37"/>
    <mergeCell ref="G7:H7"/>
    <mergeCell ref="B19:B21"/>
    <mergeCell ref="A11:A17"/>
    <mergeCell ref="B11:B17"/>
    <mergeCell ref="C11:C17"/>
    <mergeCell ref="A19:A21"/>
    <mergeCell ref="C19:C21"/>
    <mergeCell ref="A23:A29"/>
    <mergeCell ref="C23:C29"/>
    <mergeCell ref="A1:H1"/>
    <mergeCell ref="A2:H2"/>
    <mergeCell ref="A4:H4"/>
    <mergeCell ref="A5:H5"/>
    <mergeCell ref="A7:A8"/>
    <mergeCell ref="B7:B8"/>
    <mergeCell ref="C7:C8"/>
    <mergeCell ref="D7:D8"/>
    <mergeCell ref="E7:E8"/>
    <mergeCell ref="F7:F8"/>
  </mergeCells>
  <printOptions horizontalCentered="1"/>
  <pageMargins left="0.52" right="0.86" top="0.68" bottom="0.69" header="0.3" footer="0.4"/>
  <pageSetup paperSize="9" scale="80" orientation="landscape" verticalDpi="300" r:id="rId1"/>
  <headerFooter>
    <oddFooter>&amp;L2nd District of Pampanga
&amp;CPage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view="pageBreakPreview" zoomScale="80" zoomScaleNormal="70" zoomScaleSheetLayoutView="80" workbookViewId="0">
      <selection activeCell="B12" sqref="B12"/>
    </sheetView>
  </sheetViews>
  <sheetFormatPr defaultRowHeight="15" x14ac:dyDescent="0.25"/>
  <cols>
    <col min="1" max="1" width="14.28515625" style="766" customWidth="1"/>
    <col min="2" max="2" width="12.42578125" style="764" customWidth="1"/>
    <col min="3" max="3" width="18" style="773" customWidth="1"/>
    <col min="4" max="4" width="11.5703125" style="764" customWidth="1"/>
    <col min="5" max="5" width="17.85546875" style="773" customWidth="1"/>
    <col min="6" max="6" width="9.5703125" style="764" customWidth="1"/>
    <col min="7" max="7" width="17.140625" style="773" customWidth="1"/>
    <col min="8" max="8" width="11.5703125" style="764" bestFit="1" customWidth="1"/>
    <col min="9" max="9" width="16.28515625" style="773" customWidth="1"/>
    <col min="10" max="10" width="10" style="764" customWidth="1"/>
    <col min="11" max="11" width="16.140625" style="773" customWidth="1"/>
    <col min="12" max="12" width="10.28515625" style="764" customWidth="1"/>
    <col min="13" max="13" width="17.7109375" style="773" customWidth="1"/>
    <col min="14" max="14" width="9.140625" style="766"/>
    <col min="15" max="15" width="17.42578125" style="766" customWidth="1"/>
    <col min="16" max="16" width="9.140625" style="766"/>
    <col min="17" max="17" width="18.140625" style="766" customWidth="1"/>
    <col min="18" max="18" width="9.140625" style="766"/>
    <col min="19" max="19" width="15.42578125" style="766" customWidth="1"/>
    <col min="20" max="20" width="9.140625" style="766"/>
    <col min="21" max="21" width="15.42578125" style="766" customWidth="1"/>
    <col min="22" max="16384" width="9.140625" style="766"/>
  </cols>
  <sheetData>
    <row r="1" spans="1:13" x14ac:dyDescent="0.25">
      <c r="A1" s="892" t="s">
        <v>39</v>
      </c>
      <c r="B1" s="892"/>
      <c r="C1" s="892"/>
      <c r="D1" s="892"/>
      <c r="E1" s="892"/>
      <c r="F1" s="892"/>
      <c r="G1" s="892"/>
      <c r="H1" s="892"/>
      <c r="I1" s="892"/>
      <c r="J1" s="892"/>
      <c r="K1" s="892"/>
      <c r="L1" s="892"/>
      <c r="M1" s="892"/>
    </row>
    <row r="2" spans="1:13" x14ac:dyDescent="0.25">
      <c r="A2" s="892" t="s">
        <v>40</v>
      </c>
      <c r="B2" s="892"/>
      <c r="C2" s="892"/>
      <c r="D2" s="892"/>
      <c r="E2" s="892"/>
      <c r="F2" s="892"/>
      <c r="G2" s="892"/>
      <c r="H2" s="892"/>
      <c r="I2" s="892"/>
      <c r="J2" s="892"/>
      <c r="K2" s="892"/>
      <c r="L2" s="892"/>
      <c r="M2" s="892"/>
    </row>
    <row r="3" spans="1:13" x14ac:dyDescent="0.25">
      <c r="A3" s="892" t="s">
        <v>302</v>
      </c>
      <c r="B3" s="892"/>
      <c r="C3" s="892"/>
      <c r="D3" s="892"/>
      <c r="E3" s="892"/>
      <c r="F3" s="892"/>
      <c r="G3" s="892"/>
      <c r="H3" s="892"/>
      <c r="I3" s="892"/>
      <c r="J3" s="892"/>
      <c r="K3" s="892"/>
      <c r="L3" s="892"/>
      <c r="M3" s="892"/>
    </row>
    <row r="5" spans="1:13" ht="16.5" customHeight="1" x14ac:dyDescent="0.25">
      <c r="A5" s="893" t="s">
        <v>373</v>
      </c>
      <c r="B5" s="893"/>
      <c r="C5" s="893"/>
      <c r="D5" s="893"/>
      <c r="E5" s="893"/>
      <c r="F5" s="893"/>
      <c r="G5" s="893"/>
      <c r="H5" s="893"/>
      <c r="I5" s="893"/>
      <c r="J5" s="893"/>
      <c r="K5" s="893"/>
      <c r="L5" s="893"/>
      <c r="M5" s="893"/>
    </row>
    <row r="6" spans="1:13" ht="15.75" customHeight="1" x14ac:dyDescent="0.25">
      <c r="A6" s="893" t="s">
        <v>444</v>
      </c>
      <c r="B6" s="893"/>
      <c r="C6" s="893"/>
      <c r="D6" s="893"/>
      <c r="E6" s="893"/>
      <c r="F6" s="893"/>
      <c r="G6" s="893"/>
      <c r="H6" s="893"/>
      <c r="I6" s="893"/>
      <c r="J6" s="893"/>
      <c r="K6" s="893"/>
      <c r="L6" s="893"/>
      <c r="M6" s="893"/>
    </row>
    <row r="8" spans="1:13" s="772" customFormat="1" ht="28.5" customHeight="1" x14ac:dyDescent="0.25">
      <c r="A8" s="889" t="s">
        <v>303</v>
      </c>
      <c r="B8" s="895" t="s">
        <v>5</v>
      </c>
      <c r="C8" s="895"/>
      <c r="D8" s="895"/>
      <c r="E8" s="895"/>
      <c r="F8" s="895" t="s">
        <v>7</v>
      </c>
      <c r="G8" s="895"/>
      <c r="H8" s="895"/>
      <c r="I8" s="895"/>
      <c r="J8" s="895" t="s">
        <v>306</v>
      </c>
      <c r="K8" s="895"/>
      <c r="L8" s="895"/>
      <c r="M8" s="895"/>
    </row>
    <row r="9" spans="1:13" ht="28.5" customHeight="1" x14ac:dyDescent="0.25">
      <c r="A9" s="889"/>
      <c r="B9" s="894" t="s">
        <v>327</v>
      </c>
      <c r="C9" s="894"/>
      <c r="D9" s="894" t="s">
        <v>333</v>
      </c>
      <c r="E9" s="894"/>
      <c r="F9" s="894" t="s">
        <v>327</v>
      </c>
      <c r="G9" s="894"/>
      <c r="H9" s="894" t="s">
        <v>333</v>
      </c>
      <c r="I9" s="894"/>
      <c r="J9" s="894" t="s">
        <v>327</v>
      </c>
      <c r="K9" s="894"/>
      <c r="L9" s="894" t="s">
        <v>333</v>
      </c>
      <c r="M9" s="894"/>
    </row>
    <row r="10" spans="1:13" s="779" customFormat="1" ht="45" x14ac:dyDescent="0.25">
      <c r="A10" s="889"/>
      <c r="B10" s="780" t="s">
        <v>307</v>
      </c>
      <c r="C10" s="781" t="s">
        <v>60</v>
      </c>
      <c r="D10" s="780" t="s">
        <v>307</v>
      </c>
      <c r="E10" s="782" t="s">
        <v>305</v>
      </c>
      <c r="F10" s="780" t="s">
        <v>308</v>
      </c>
      <c r="G10" s="781" t="s">
        <v>60</v>
      </c>
      <c r="H10" s="780" t="s">
        <v>308</v>
      </c>
      <c r="I10" s="782" t="s">
        <v>305</v>
      </c>
      <c r="J10" s="780" t="s">
        <v>309</v>
      </c>
      <c r="K10" s="781" t="s">
        <v>60</v>
      </c>
      <c r="L10" s="780" t="s">
        <v>309</v>
      </c>
      <c r="M10" s="781" t="s">
        <v>305</v>
      </c>
    </row>
    <row r="11" spans="1:13" x14ac:dyDescent="0.25">
      <c r="A11" s="783" t="s">
        <v>81</v>
      </c>
      <c r="B11" s="784">
        <f t="shared" ref="B11:M11" si="0">SUM(B12:B18)</f>
        <v>291365</v>
      </c>
      <c r="C11" s="785">
        <f t="shared" si="0"/>
        <v>4370475000</v>
      </c>
      <c r="D11" s="784">
        <f t="shared" si="0"/>
        <v>292161</v>
      </c>
      <c r="E11" s="785">
        <f t="shared" si="0"/>
        <v>3035963500</v>
      </c>
      <c r="F11" s="784">
        <f t="shared" si="0"/>
        <v>28525</v>
      </c>
      <c r="G11" s="785">
        <f t="shared" si="0"/>
        <v>285250000</v>
      </c>
      <c r="H11" s="784">
        <f t="shared" si="0"/>
        <v>10757</v>
      </c>
      <c r="I11" s="785">
        <f t="shared" si="0"/>
        <v>63902685</v>
      </c>
      <c r="J11" s="784">
        <f t="shared" si="0"/>
        <v>161700</v>
      </c>
      <c r="K11" s="785">
        <f t="shared" si="0"/>
        <v>252252000</v>
      </c>
      <c r="L11" s="786">
        <f t="shared" si="0"/>
        <v>137914</v>
      </c>
      <c r="M11" s="785">
        <f t="shared" si="0"/>
        <v>157778244</v>
      </c>
    </row>
    <row r="12" spans="1:13" x14ac:dyDescent="0.25">
      <c r="A12" s="780" t="s">
        <v>246</v>
      </c>
      <c r="B12" s="780">
        <f>'Aurora_Lone District'!B11</f>
        <v>8265</v>
      </c>
      <c r="C12" s="782">
        <f>'Aurora_Lone District'!C11</f>
        <v>123975000</v>
      </c>
      <c r="D12" s="780">
        <f>'Aurora_Lone District'!D11</f>
        <v>8231</v>
      </c>
      <c r="E12" s="782">
        <f>'Aurora_Lone District'!E11</f>
        <v>95392100</v>
      </c>
      <c r="F12" s="780">
        <f>'Aurora_Lone District'!F11</f>
        <v>1016</v>
      </c>
      <c r="G12" s="782">
        <f>'Aurora_Lone District'!G11</f>
        <v>10160000</v>
      </c>
      <c r="H12" s="780">
        <f>'Aurora_Lone District'!H11</f>
        <v>273</v>
      </c>
      <c r="I12" s="782">
        <f>'Aurora_Lone District'!I11</f>
        <v>1437000</v>
      </c>
      <c r="J12" s="780">
        <f>'Aurora_Lone District'!J11</f>
        <v>6175</v>
      </c>
      <c r="K12" s="782">
        <f>'Aurora_Lone District'!K11</f>
        <v>9633000</v>
      </c>
      <c r="L12" s="780">
        <f>'Aurora_Lone District'!L11</f>
        <v>5079</v>
      </c>
      <c r="M12" s="782">
        <f>'Aurora_Lone District'!M11</f>
        <v>2104388</v>
      </c>
    </row>
    <row r="13" spans="1:13" x14ac:dyDescent="0.25">
      <c r="A13" s="780" t="s">
        <v>247</v>
      </c>
      <c r="B13" s="780">
        <f>Bat!B11</f>
        <v>16108</v>
      </c>
      <c r="C13" s="782">
        <f>Bat!C11</f>
        <v>241620000</v>
      </c>
      <c r="D13" s="780">
        <f>Bat!D11</f>
        <v>17723</v>
      </c>
      <c r="E13" s="782">
        <f>Bat!E11</f>
        <v>188111200</v>
      </c>
      <c r="F13" s="780">
        <f>Bat!F11</f>
        <v>1732</v>
      </c>
      <c r="G13" s="782">
        <f>Bat!G11</f>
        <v>17320000</v>
      </c>
      <c r="H13" s="780">
        <f>Bat!H11</f>
        <v>784</v>
      </c>
      <c r="I13" s="782">
        <f>Bat!I11</f>
        <v>4386490</v>
      </c>
      <c r="J13" s="780">
        <f>Bat!J11</f>
        <v>11875</v>
      </c>
      <c r="K13" s="782">
        <f>Bat!K11</f>
        <v>18525000</v>
      </c>
      <c r="L13" s="780">
        <f>Bat!L11</f>
        <v>11025</v>
      </c>
      <c r="M13" s="782">
        <f>Bat!M11</f>
        <v>16005653</v>
      </c>
    </row>
    <row r="14" spans="1:13" x14ac:dyDescent="0.25">
      <c r="A14" s="780" t="s">
        <v>91</v>
      </c>
      <c r="B14" s="780">
        <f>Bul!B12</f>
        <v>67678</v>
      </c>
      <c r="C14" s="782">
        <f>Bul!C12</f>
        <v>1015170000</v>
      </c>
      <c r="D14" s="780">
        <f>Bul!D12</f>
        <v>69012</v>
      </c>
      <c r="E14" s="782">
        <f>Bul!E12</f>
        <v>724220700</v>
      </c>
      <c r="F14" s="780">
        <f>Bul!F12</f>
        <v>6682</v>
      </c>
      <c r="G14" s="782">
        <f>Bul!G12</f>
        <v>66820000</v>
      </c>
      <c r="H14" s="780">
        <f>Bul!H12</f>
        <v>2395</v>
      </c>
      <c r="I14" s="782">
        <f>Bul!I12</f>
        <v>17203000</v>
      </c>
      <c r="J14" s="780">
        <f>Bul!J12</f>
        <v>42700</v>
      </c>
      <c r="K14" s="782">
        <f>Bul!K12</f>
        <v>66612000</v>
      </c>
      <c r="L14" s="780">
        <f>Bul!L12</f>
        <v>32973</v>
      </c>
      <c r="M14" s="782">
        <f>Bul!M12</f>
        <v>56389860</v>
      </c>
    </row>
    <row r="15" spans="1:13" x14ac:dyDescent="0.25">
      <c r="A15" s="780" t="s">
        <v>370</v>
      </c>
      <c r="B15" s="780">
        <f>NE!B12</f>
        <v>88876</v>
      </c>
      <c r="C15" s="782">
        <f>NE!C12</f>
        <v>1333140000</v>
      </c>
      <c r="D15" s="780">
        <f>NE!D12</f>
        <v>85797</v>
      </c>
      <c r="E15" s="782">
        <f>NE!E12</f>
        <v>847505300</v>
      </c>
      <c r="F15" s="780">
        <f>NE!F12</f>
        <v>7693</v>
      </c>
      <c r="G15" s="782">
        <f>NE!G12</f>
        <v>76930000</v>
      </c>
      <c r="H15" s="780">
        <f>NE!H12</f>
        <v>2923</v>
      </c>
      <c r="I15" s="782">
        <f>NE!I12</f>
        <v>15854095</v>
      </c>
      <c r="J15" s="780">
        <f>NE!J12</f>
        <v>35100</v>
      </c>
      <c r="K15" s="782">
        <f>NE!K12</f>
        <v>54756000</v>
      </c>
      <c r="L15" s="780">
        <f>NE!L12</f>
        <v>32335</v>
      </c>
      <c r="M15" s="782">
        <f>NE!M12</f>
        <v>34300601</v>
      </c>
    </row>
    <row r="16" spans="1:13" x14ac:dyDescent="0.25">
      <c r="A16" s="780" t="s">
        <v>371</v>
      </c>
      <c r="B16" s="780">
        <f>Pamp!B12</f>
        <v>50457</v>
      </c>
      <c r="C16" s="782">
        <f>Pamp!C12</f>
        <v>756855000</v>
      </c>
      <c r="D16" s="780">
        <f>Pamp!D12</f>
        <v>52418</v>
      </c>
      <c r="E16" s="782">
        <f>Pamp!E12</f>
        <v>559354100</v>
      </c>
      <c r="F16" s="780">
        <f>Pamp!F12</f>
        <v>5154</v>
      </c>
      <c r="G16" s="782">
        <f>Pamp!G12</f>
        <v>51540000</v>
      </c>
      <c r="H16" s="780">
        <f>Pamp!H12</f>
        <v>1813</v>
      </c>
      <c r="I16" s="782">
        <f>Pamp!I12</f>
        <v>10387865</v>
      </c>
      <c r="J16" s="780">
        <f>Pamp!J12</f>
        <v>30350</v>
      </c>
      <c r="K16" s="782">
        <f>Pamp!K12</f>
        <v>47346000</v>
      </c>
      <c r="L16" s="780">
        <f>Pamp!L12</f>
        <v>21888</v>
      </c>
      <c r="M16" s="782">
        <f>Pamp!M12</f>
        <v>19886177</v>
      </c>
    </row>
    <row r="17" spans="1:14" x14ac:dyDescent="0.25">
      <c r="A17" s="780" t="s">
        <v>372</v>
      </c>
      <c r="B17" s="780">
        <f>Tar!B11</f>
        <v>40171</v>
      </c>
      <c r="C17" s="782">
        <f>Tar!C11</f>
        <v>602565000</v>
      </c>
      <c r="D17" s="780">
        <f>Tar!D11</f>
        <v>39770</v>
      </c>
      <c r="E17" s="782">
        <f>Tar!E11</f>
        <v>422011600</v>
      </c>
      <c r="F17" s="780">
        <f>Tar!F11</f>
        <v>4132</v>
      </c>
      <c r="G17" s="782">
        <f>Tar!G11</f>
        <v>41320000</v>
      </c>
      <c r="H17" s="780">
        <f>Tar!H11</f>
        <v>1534</v>
      </c>
      <c r="I17" s="782">
        <f>Tar!I11</f>
        <v>8355000</v>
      </c>
      <c r="J17" s="780">
        <f>Tar!J11</f>
        <v>25800</v>
      </c>
      <c r="K17" s="782">
        <f>Tar!K11</f>
        <v>40248000</v>
      </c>
      <c r="L17" s="780">
        <f>Tar!L11</f>
        <v>26645</v>
      </c>
      <c r="M17" s="782">
        <f>Tar!M11</f>
        <v>22428685</v>
      </c>
    </row>
    <row r="18" spans="1:14" x14ac:dyDescent="0.25">
      <c r="A18" s="780" t="s">
        <v>291</v>
      </c>
      <c r="B18" s="780">
        <f>Zamb!B11</f>
        <v>19810</v>
      </c>
      <c r="C18" s="782">
        <f>Zamb!C11</f>
        <v>297150000</v>
      </c>
      <c r="D18" s="780">
        <f>Zamb!D11</f>
        <v>19210</v>
      </c>
      <c r="E18" s="782">
        <f>Zamb!E11</f>
        <v>199368500</v>
      </c>
      <c r="F18" s="780">
        <f>Zamb!F11</f>
        <v>2116</v>
      </c>
      <c r="G18" s="782">
        <f>Zamb!G11</f>
        <v>21160000</v>
      </c>
      <c r="H18" s="780">
        <f>Zamb!H11</f>
        <v>1035</v>
      </c>
      <c r="I18" s="782">
        <f>Zamb!I11</f>
        <v>6279235</v>
      </c>
      <c r="J18" s="780">
        <f>Zamb!J11</f>
        <v>9700</v>
      </c>
      <c r="K18" s="782">
        <f>Zamb!K11</f>
        <v>15132000</v>
      </c>
      <c r="L18" s="780">
        <f>Zamb!L11</f>
        <v>7969</v>
      </c>
      <c r="M18" s="782">
        <f>Zamb!M11</f>
        <v>6662880</v>
      </c>
    </row>
    <row r="19" spans="1:14" x14ac:dyDescent="0.25">
      <c r="D19" s="759"/>
    </row>
    <row r="20" spans="1:14" s="772" customFormat="1" ht="28.5" customHeight="1" x14ac:dyDescent="0.25">
      <c r="A20" s="889" t="s">
        <v>303</v>
      </c>
      <c r="B20" s="895" t="s">
        <v>16</v>
      </c>
      <c r="C20" s="895"/>
      <c r="D20" s="895"/>
      <c r="E20" s="895"/>
      <c r="F20" s="895" t="s">
        <v>421</v>
      </c>
      <c r="G20" s="895"/>
      <c r="H20" s="895"/>
      <c r="I20" s="895"/>
      <c r="J20" s="895" t="s">
        <v>329</v>
      </c>
      <c r="K20" s="895"/>
      <c r="L20" s="895"/>
      <c r="M20" s="895"/>
    </row>
    <row r="21" spans="1:14" ht="25.5" customHeight="1" x14ac:dyDescent="0.25">
      <c r="A21" s="889"/>
      <c r="B21" s="894" t="s">
        <v>327</v>
      </c>
      <c r="C21" s="894"/>
      <c r="D21" s="894" t="s">
        <v>333</v>
      </c>
      <c r="E21" s="894"/>
      <c r="F21" s="894" t="s">
        <v>327</v>
      </c>
      <c r="G21" s="894"/>
      <c r="H21" s="894" t="s">
        <v>333</v>
      </c>
      <c r="I21" s="894"/>
      <c r="J21" s="894" t="s">
        <v>327</v>
      </c>
      <c r="K21" s="894"/>
      <c r="L21" s="894" t="s">
        <v>333</v>
      </c>
      <c r="M21" s="894"/>
    </row>
    <row r="22" spans="1:14" ht="45" customHeight="1" x14ac:dyDescent="0.25">
      <c r="A22" s="889"/>
      <c r="B22" s="780" t="s">
        <v>330</v>
      </c>
      <c r="C22" s="781" t="s">
        <v>60</v>
      </c>
      <c r="D22" s="780" t="s">
        <v>330</v>
      </c>
      <c r="E22" s="782" t="s">
        <v>305</v>
      </c>
      <c r="F22" s="780" t="s">
        <v>253</v>
      </c>
      <c r="G22" s="781" t="s">
        <v>60</v>
      </c>
      <c r="H22" s="780" t="s">
        <v>253</v>
      </c>
      <c r="I22" s="781" t="s">
        <v>305</v>
      </c>
      <c r="J22" s="780" t="s">
        <v>310</v>
      </c>
      <c r="K22" s="781" t="s">
        <v>60</v>
      </c>
      <c r="L22" s="780" t="s">
        <v>310</v>
      </c>
      <c r="M22" s="781" t="s">
        <v>60</v>
      </c>
    </row>
    <row r="23" spans="1:14" x14ac:dyDescent="0.25">
      <c r="A23" s="783" t="s">
        <v>81</v>
      </c>
      <c r="B23" s="784">
        <f t="shared" ref="B23:M23" si="1">SUM(B24:B30)</f>
        <v>47425</v>
      </c>
      <c r="C23" s="785">
        <f t="shared" si="1"/>
        <v>284550000</v>
      </c>
      <c r="D23" s="784">
        <f t="shared" si="1"/>
        <v>74837</v>
      </c>
      <c r="E23" s="785">
        <f t="shared" si="1"/>
        <v>438933000</v>
      </c>
      <c r="F23" s="784">
        <f>SUM(F24:F30)</f>
        <v>211</v>
      </c>
      <c r="G23" s="785">
        <f>SUM(G24:G30)</f>
        <v>275802173.31</v>
      </c>
      <c r="H23" s="784">
        <f>SUM(H24:H30)</f>
        <v>0</v>
      </c>
      <c r="I23" s="785">
        <f>SUM(I24:I30)</f>
        <v>0</v>
      </c>
      <c r="J23" s="784">
        <f t="shared" si="1"/>
        <v>0</v>
      </c>
      <c r="K23" s="785">
        <f t="shared" si="1"/>
        <v>0</v>
      </c>
      <c r="L23" s="786">
        <f t="shared" si="1"/>
        <v>45131</v>
      </c>
      <c r="M23" s="785">
        <f t="shared" si="1"/>
        <v>144656949</v>
      </c>
      <c r="N23" s="760">
        <f>18392-L23</f>
        <v>-26739</v>
      </c>
    </row>
    <row r="24" spans="1:14" x14ac:dyDescent="0.25">
      <c r="A24" s="780" t="s">
        <v>246</v>
      </c>
      <c r="B24" s="787">
        <f>'Aurora_Lone District'!B24</f>
        <v>2386</v>
      </c>
      <c r="C24" s="788">
        <f>'Aurora_Lone District'!C24</f>
        <v>14316000</v>
      </c>
      <c r="D24" s="787">
        <f>'Aurora_Lone District'!D24</f>
        <v>2852</v>
      </c>
      <c r="E24" s="788">
        <f>'Aurora_Lone District'!E24</f>
        <v>17112000</v>
      </c>
      <c r="F24" s="787">
        <f>'Aurora_Lone District'!F24</f>
        <v>23</v>
      </c>
      <c r="G24" s="788">
        <f>'Aurora_Lone District'!G24</f>
        <v>18954150</v>
      </c>
      <c r="H24" s="787">
        <f>'Aurora_Lone District'!H24</f>
        <v>0</v>
      </c>
      <c r="I24" s="788">
        <f>'Aurora_Lone District'!I24</f>
        <v>0</v>
      </c>
      <c r="J24" s="787">
        <f>'Aurora_Lone District'!J24</f>
        <v>0</v>
      </c>
      <c r="K24" s="788">
        <f>'Aurora_Lone District'!K24</f>
        <v>0</v>
      </c>
      <c r="L24" s="787">
        <f>'Aurora_Lone District'!L24</f>
        <v>1575</v>
      </c>
      <c r="M24" s="788">
        <f>'Aurora_Lone District'!M24</f>
        <v>4742000</v>
      </c>
    </row>
    <row r="25" spans="1:14" x14ac:dyDescent="0.25">
      <c r="A25" s="780" t="s">
        <v>247</v>
      </c>
      <c r="B25" s="787">
        <f>Bat!B30</f>
        <v>3890</v>
      </c>
      <c r="C25" s="788">
        <f>Bat!C30</f>
        <v>23340000</v>
      </c>
      <c r="D25" s="787">
        <f>Bat!D30</f>
        <v>5155</v>
      </c>
      <c r="E25" s="788">
        <f>Bat!E30</f>
        <v>30930000</v>
      </c>
      <c r="F25" s="787">
        <f>Bat!F30</f>
        <v>15</v>
      </c>
      <c r="G25" s="788">
        <f>Bat!G30</f>
        <v>21205280</v>
      </c>
      <c r="H25" s="787">
        <f>Bat!H30</f>
        <v>0</v>
      </c>
      <c r="I25" s="788">
        <f>Bat!I30</f>
        <v>0</v>
      </c>
      <c r="J25" s="787">
        <f>Bat!J30</f>
        <v>0</v>
      </c>
      <c r="K25" s="788">
        <f>Bat!K30</f>
        <v>0</v>
      </c>
      <c r="L25" s="787">
        <f>Bat!L30</f>
        <v>5372</v>
      </c>
      <c r="M25" s="788">
        <f>Bat!M30</f>
        <v>21387000</v>
      </c>
    </row>
    <row r="26" spans="1:14" x14ac:dyDescent="0.25">
      <c r="A26" s="780" t="s">
        <v>91</v>
      </c>
      <c r="B26" s="787">
        <f>Bul!B46</f>
        <v>8867</v>
      </c>
      <c r="C26" s="788">
        <f>Bul!C46</f>
        <v>53202000</v>
      </c>
      <c r="D26" s="787">
        <f>Bul!D46</f>
        <v>11551</v>
      </c>
      <c r="E26" s="788">
        <f>Bul!E46</f>
        <v>69306000</v>
      </c>
      <c r="F26" s="787">
        <f>Bul!F46</f>
        <v>34</v>
      </c>
      <c r="G26" s="788">
        <f>Bul!G46</f>
        <v>57268685.700000003</v>
      </c>
      <c r="H26" s="787">
        <f>Bul!H46</f>
        <v>0</v>
      </c>
      <c r="I26" s="788">
        <f>Bul!I46</f>
        <v>0</v>
      </c>
      <c r="J26" s="787">
        <f>Bul!J46</f>
        <v>0</v>
      </c>
      <c r="K26" s="788">
        <f>Bul!K46</f>
        <v>0</v>
      </c>
      <c r="L26" s="787">
        <f>Bul!L46</f>
        <v>14661</v>
      </c>
      <c r="M26" s="788">
        <f>Bul!M46</f>
        <v>43817700</v>
      </c>
    </row>
    <row r="27" spans="1:14" x14ac:dyDescent="0.25">
      <c r="A27" s="780" t="s">
        <v>370</v>
      </c>
      <c r="B27" s="787">
        <f>NE!B53</f>
        <v>13074</v>
      </c>
      <c r="C27" s="788">
        <f>NE!C53</f>
        <v>78444000</v>
      </c>
      <c r="D27" s="787">
        <f>NE!D53</f>
        <v>17494</v>
      </c>
      <c r="E27" s="788">
        <f>NE!E53</f>
        <v>104964000</v>
      </c>
      <c r="F27" s="787">
        <f>NE!F53</f>
        <v>39</v>
      </c>
      <c r="G27" s="788">
        <f>NE!G53</f>
        <v>52305914.869999997</v>
      </c>
      <c r="H27" s="787">
        <f>NE!H53</f>
        <v>0</v>
      </c>
      <c r="I27" s="788">
        <f>NE!I53</f>
        <v>0</v>
      </c>
      <c r="J27" s="787">
        <f>NE!J53</f>
        <v>0</v>
      </c>
      <c r="K27" s="788">
        <f>NE!K53</f>
        <v>0</v>
      </c>
      <c r="L27" s="787">
        <f>NE!L53</f>
        <v>9076</v>
      </c>
      <c r="M27" s="788">
        <f>NE!M53</f>
        <v>28880600</v>
      </c>
    </row>
    <row r="28" spans="1:14" x14ac:dyDescent="0.25">
      <c r="A28" s="780" t="s">
        <v>371</v>
      </c>
      <c r="B28" s="787">
        <f>Pamp!B43</f>
        <v>8036</v>
      </c>
      <c r="C28" s="788">
        <f>Pamp!C43</f>
        <v>48216000</v>
      </c>
      <c r="D28" s="787">
        <f>Pamp!D43</f>
        <v>21823</v>
      </c>
      <c r="E28" s="788">
        <f>Pamp!E43</f>
        <v>120849000</v>
      </c>
      <c r="F28" s="787">
        <f>Pamp!F43</f>
        <v>42</v>
      </c>
      <c r="G28" s="788">
        <f>Pamp!G43</f>
        <v>54291921.740000002</v>
      </c>
      <c r="H28" s="787">
        <f>Pamp!H43</f>
        <v>0</v>
      </c>
      <c r="I28" s="788">
        <f>Pamp!I43</f>
        <v>0</v>
      </c>
      <c r="J28" s="787">
        <f>Pamp!J43</f>
        <v>0</v>
      </c>
      <c r="K28" s="788">
        <f>Pamp!K43</f>
        <v>0</v>
      </c>
      <c r="L28" s="787">
        <f>Pamp!L43</f>
        <v>5158</v>
      </c>
      <c r="M28" s="788">
        <f>Pamp!M43</f>
        <v>19221338</v>
      </c>
    </row>
    <row r="29" spans="1:14" x14ac:dyDescent="0.25">
      <c r="A29" s="780" t="s">
        <v>372</v>
      </c>
      <c r="B29" s="787">
        <f>Tar!B37</f>
        <v>6688</v>
      </c>
      <c r="C29" s="788">
        <f>Tar!C37</f>
        <v>40128000</v>
      </c>
      <c r="D29" s="787">
        <f>Tar!D37</f>
        <v>10638</v>
      </c>
      <c r="E29" s="788">
        <f>Tar!E37</f>
        <v>63828000</v>
      </c>
      <c r="F29" s="787">
        <f>Tar!F37</f>
        <v>25</v>
      </c>
      <c r="G29" s="788">
        <f>Tar!G37</f>
        <v>31314861</v>
      </c>
      <c r="H29" s="787">
        <f>Tar!H37</f>
        <v>0</v>
      </c>
      <c r="I29" s="788">
        <f>Tar!I37</f>
        <v>0</v>
      </c>
      <c r="J29" s="787">
        <f>Tar!J37</f>
        <v>0</v>
      </c>
      <c r="K29" s="788">
        <f>Tar!K37</f>
        <v>0</v>
      </c>
      <c r="L29" s="787">
        <f>Tar!L37</f>
        <v>5863</v>
      </c>
      <c r="M29" s="788">
        <f>Tar!M37</f>
        <v>13478722</v>
      </c>
    </row>
    <row r="30" spans="1:14" x14ac:dyDescent="0.25">
      <c r="A30" s="780" t="s">
        <v>291</v>
      </c>
      <c r="B30" s="787">
        <f>Zamb!B32</f>
        <v>4484</v>
      </c>
      <c r="C30" s="788">
        <f>Zamb!C32</f>
        <v>26904000</v>
      </c>
      <c r="D30" s="787">
        <f>Zamb!D32</f>
        <v>5324</v>
      </c>
      <c r="E30" s="788">
        <f>Zamb!E32</f>
        <v>31944000</v>
      </c>
      <c r="F30" s="787">
        <f>Zamb!F32</f>
        <v>33</v>
      </c>
      <c r="G30" s="788">
        <f>Zamb!G32</f>
        <v>40461360</v>
      </c>
      <c r="H30" s="787">
        <f>Zamb!H32</f>
        <v>0</v>
      </c>
      <c r="I30" s="788">
        <f>Zamb!I32</f>
        <v>0</v>
      </c>
      <c r="J30" s="787">
        <f>Zamb!J32</f>
        <v>0</v>
      </c>
      <c r="K30" s="788">
        <f>Zamb!K32</f>
        <v>0</v>
      </c>
      <c r="L30" s="787">
        <f>Zamb!L32</f>
        <v>3426</v>
      </c>
      <c r="M30" s="788">
        <f>Zamb!M32</f>
        <v>13129589</v>
      </c>
    </row>
    <row r="31" spans="1:14" x14ac:dyDescent="0.25">
      <c r="D31" s="763"/>
    </row>
    <row r="32" spans="1:14" s="772" customFormat="1" ht="28.5" customHeight="1" x14ac:dyDescent="0.25">
      <c r="A32" s="889" t="s">
        <v>303</v>
      </c>
      <c r="B32" s="895" t="s">
        <v>331</v>
      </c>
      <c r="C32" s="895"/>
      <c r="D32" s="895"/>
      <c r="E32" s="895"/>
      <c r="F32" s="895" t="s">
        <v>63</v>
      </c>
      <c r="G32" s="895"/>
      <c r="H32" s="895"/>
      <c r="I32" s="895"/>
      <c r="J32" s="895" t="s">
        <v>23</v>
      </c>
      <c r="K32" s="895"/>
      <c r="L32" s="895"/>
      <c r="M32" s="895"/>
    </row>
    <row r="33" spans="1:13" ht="24.75" customHeight="1" x14ac:dyDescent="0.25">
      <c r="A33" s="889"/>
      <c r="B33" s="894" t="s">
        <v>327</v>
      </c>
      <c r="C33" s="894"/>
      <c r="D33" s="894" t="s">
        <v>333</v>
      </c>
      <c r="E33" s="894"/>
      <c r="F33" s="894" t="s">
        <v>327</v>
      </c>
      <c r="G33" s="894"/>
      <c r="H33" s="894" t="s">
        <v>333</v>
      </c>
      <c r="I33" s="894"/>
      <c r="J33" s="894" t="s">
        <v>327</v>
      </c>
      <c r="K33" s="894"/>
      <c r="L33" s="894" t="s">
        <v>333</v>
      </c>
      <c r="M33" s="894"/>
    </row>
    <row r="34" spans="1:13" ht="45" customHeight="1" x14ac:dyDescent="0.25">
      <c r="A34" s="889"/>
      <c r="B34" s="780" t="s">
        <v>308</v>
      </c>
      <c r="C34" s="781" t="s">
        <v>60</v>
      </c>
      <c r="D34" s="780" t="s">
        <v>332</v>
      </c>
      <c r="E34" s="782" t="s">
        <v>305</v>
      </c>
      <c r="F34" s="780" t="s">
        <v>308</v>
      </c>
      <c r="G34" s="781" t="s">
        <v>60</v>
      </c>
      <c r="H34" s="780" t="s">
        <v>308</v>
      </c>
      <c r="I34" s="782" t="s">
        <v>305</v>
      </c>
      <c r="J34" s="780" t="s">
        <v>308</v>
      </c>
      <c r="K34" s="781" t="s">
        <v>60</v>
      </c>
      <c r="L34" s="780" t="s">
        <v>253</v>
      </c>
      <c r="M34" s="782" t="s">
        <v>305</v>
      </c>
    </row>
    <row r="35" spans="1:13" x14ac:dyDescent="0.25">
      <c r="A35" s="783" t="s">
        <v>81</v>
      </c>
      <c r="B35" s="784">
        <f t="shared" ref="B35:I35" si="2">SUM(B36:B41)</f>
        <v>0</v>
      </c>
      <c r="C35" s="785">
        <f t="shared" si="2"/>
        <v>0</v>
      </c>
      <c r="D35" s="784">
        <f t="shared" si="2"/>
        <v>78</v>
      </c>
      <c r="E35" s="785">
        <f t="shared" si="2"/>
        <v>276799</v>
      </c>
      <c r="F35" s="784">
        <f t="shared" si="2"/>
        <v>0</v>
      </c>
      <c r="G35" s="785">
        <f t="shared" si="2"/>
        <v>0</v>
      </c>
      <c r="H35" s="784">
        <f t="shared" si="2"/>
        <v>0</v>
      </c>
      <c r="I35" s="785">
        <f t="shared" si="2"/>
        <v>0</v>
      </c>
      <c r="J35" s="784"/>
      <c r="K35" s="785"/>
      <c r="L35" s="784">
        <f>SUM(L36:L42)</f>
        <v>0</v>
      </c>
      <c r="M35" s="789">
        <f>SUM(M36:M42)</f>
        <v>0</v>
      </c>
    </row>
    <row r="36" spans="1:13" x14ac:dyDescent="0.25">
      <c r="A36" s="780" t="s">
        <v>246</v>
      </c>
      <c r="B36" s="780">
        <f>'Aurora_Lone District'!B38</f>
        <v>0</v>
      </c>
      <c r="C36" s="782">
        <f>'Aurora_Lone District'!C38</f>
        <v>0</v>
      </c>
      <c r="D36" s="780">
        <f>'Aurora_Lone District'!D38</f>
        <v>2</v>
      </c>
      <c r="E36" s="782">
        <f>'Aurora_Lone District'!E38</f>
        <v>8000</v>
      </c>
      <c r="F36" s="787">
        <f>'Aurora_Lone District'!F38</f>
        <v>0</v>
      </c>
      <c r="G36" s="788">
        <f>'Aurora_Lone District'!G38</f>
        <v>0</v>
      </c>
      <c r="H36" s="787">
        <f>'Aurora_Lone District'!H38</f>
        <v>0</v>
      </c>
      <c r="I36" s="788">
        <f>'Aurora_Lone District'!I38</f>
        <v>0</v>
      </c>
      <c r="J36" s="787"/>
      <c r="K36" s="788"/>
      <c r="L36" s="787"/>
      <c r="M36" s="788"/>
    </row>
    <row r="37" spans="1:13" x14ac:dyDescent="0.25">
      <c r="A37" s="780" t="s">
        <v>247</v>
      </c>
      <c r="B37" s="780">
        <f>Bat!B50</f>
        <v>0</v>
      </c>
      <c r="C37" s="782">
        <f>Bat!C50</f>
        <v>0</v>
      </c>
      <c r="D37" s="780">
        <f>Bat!D50</f>
        <v>2</v>
      </c>
      <c r="E37" s="782">
        <f>Bat!E50</f>
        <v>10000</v>
      </c>
      <c r="F37" s="787"/>
      <c r="G37" s="790"/>
      <c r="H37" s="787"/>
      <c r="I37" s="790"/>
      <c r="J37" s="787"/>
      <c r="K37" s="790"/>
      <c r="L37" s="787"/>
      <c r="M37" s="790"/>
    </row>
    <row r="38" spans="1:13" x14ac:dyDescent="0.25">
      <c r="A38" s="780" t="s">
        <v>91</v>
      </c>
      <c r="B38" s="780">
        <f>Bul!B81</f>
        <v>0</v>
      </c>
      <c r="C38" s="782">
        <f>Bul!C81</f>
        <v>0</v>
      </c>
      <c r="D38" s="780">
        <f>Bul!D81</f>
        <v>12</v>
      </c>
      <c r="E38" s="782">
        <f>Bul!E81</f>
        <v>31100</v>
      </c>
      <c r="F38" s="787">
        <f>Bul!J81</f>
        <v>0</v>
      </c>
      <c r="G38" s="788">
        <f>Bul!K81</f>
        <v>0</v>
      </c>
      <c r="H38" s="787">
        <f>Bul!L81</f>
        <v>0</v>
      </c>
      <c r="I38" s="788">
        <f>Bul!M81</f>
        <v>0</v>
      </c>
      <c r="J38" s="787">
        <f>Bul!F81</f>
        <v>0</v>
      </c>
      <c r="K38" s="788">
        <f>Bul!G81</f>
        <v>0</v>
      </c>
      <c r="L38" s="787">
        <f>Bul!H81</f>
        <v>0</v>
      </c>
      <c r="M38" s="788">
        <f>Bul!I81</f>
        <v>0</v>
      </c>
    </row>
    <row r="39" spans="1:13" x14ac:dyDescent="0.25">
      <c r="A39" s="780" t="s">
        <v>370</v>
      </c>
      <c r="B39" s="780">
        <f>NE!B100</f>
        <v>0</v>
      </c>
      <c r="C39" s="782">
        <f>NE!C100</f>
        <v>0</v>
      </c>
      <c r="D39" s="780">
        <f>NE!D100</f>
        <v>5</v>
      </c>
      <c r="E39" s="782">
        <f>NE!E100</f>
        <v>11300</v>
      </c>
      <c r="F39" s="780">
        <f>NE!F100</f>
        <v>0</v>
      </c>
      <c r="G39" s="782">
        <f>NE!G100</f>
        <v>0</v>
      </c>
      <c r="H39" s="780">
        <f>NE!H100</f>
        <v>0</v>
      </c>
      <c r="I39" s="782">
        <f>NE!I100</f>
        <v>0</v>
      </c>
      <c r="J39" s="780">
        <f>NE!J100</f>
        <v>0</v>
      </c>
      <c r="K39" s="782">
        <f>NE!K100</f>
        <v>0</v>
      </c>
      <c r="L39" s="780">
        <f>NE!L100</f>
        <v>0</v>
      </c>
      <c r="M39" s="782">
        <f>NE!M100</f>
        <v>0</v>
      </c>
    </row>
    <row r="40" spans="1:13" x14ac:dyDescent="0.25">
      <c r="A40" s="780" t="s">
        <v>371</v>
      </c>
      <c r="B40" s="780">
        <f>Pamp!B74</f>
        <v>0</v>
      </c>
      <c r="C40" s="782">
        <f>Pamp!C74</f>
        <v>0</v>
      </c>
      <c r="D40" s="780">
        <f>Pamp!D74</f>
        <v>54</v>
      </c>
      <c r="E40" s="782">
        <f>Pamp!E74</f>
        <v>214699</v>
      </c>
      <c r="F40" s="780">
        <f>Pamp!F74</f>
        <v>0</v>
      </c>
      <c r="G40" s="782">
        <f>Pamp!G74</f>
        <v>0</v>
      </c>
      <c r="H40" s="780">
        <f>Pamp!H74</f>
        <v>0</v>
      </c>
      <c r="I40" s="782">
        <f>Pamp!I74</f>
        <v>0</v>
      </c>
      <c r="J40" s="780">
        <f>Pamp!J74</f>
        <v>0</v>
      </c>
      <c r="K40" s="782">
        <f>Pamp!K74</f>
        <v>0</v>
      </c>
      <c r="L40" s="780">
        <f>Pamp!L74</f>
        <v>0</v>
      </c>
      <c r="M40" s="782">
        <f>Pamp!M74</f>
        <v>0</v>
      </c>
    </row>
    <row r="41" spans="1:13" x14ac:dyDescent="0.25">
      <c r="A41" s="780" t="s">
        <v>372</v>
      </c>
      <c r="B41" s="780">
        <f>Tar!B63</f>
        <v>0</v>
      </c>
      <c r="C41" s="782">
        <f>Tar!C63</f>
        <v>0</v>
      </c>
      <c r="D41" s="780">
        <f>Tar!D63</f>
        <v>3</v>
      </c>
      <c r="E41" s="782">
        <f>Tar!E63</f>
        <v>1700</v>
      </c>
      <c r="F41" s="780">
        <f>Tar!F63</f>
        <v>0</v>
      </c>
      <c r="G41" s="782">
        <f>Tar!G63</f>
        <v>0</v>
      </c>
      <c r="H41" s="780">
        <f>Tar!H63</f>
        <v>0</v>
      </c>
      <c r="I41" s="782">
        <f>Tar!I63</f>
        <v>0</v>
      </c>
      <c r="J41" s="780">
        <f>Tar!J63</f>
        <v>0</v>
      </c>
      <c r="K41" s="782">
        <f>Tar!K63</f>
        <v>0</v>
      </c>
      <c r="L41" s="780">
        <f>Tar!L63</f>
        <v>0</v>
      </c>
      <c r="M41" s="782">
        <f>Tar!M63</f>
        <v>0</v>
      </c>
    </row>
    <row r="42" spans="1:13" x14ac:dyDescent="0.25">
      <c r="A42" s="780" t="s">
        <v>291</v>
      </c>
      <c r="B42" s="791">
        <f>Zamb!B53</f>
        <v>0</v>
      </c>
      <c r="C42" s="792">
        <f>Zamb!C53</f>
        <v>0</v>
      </c>
      <c r="D42" s="791">
        <f>Zamb!D53</f>
        <v>0</v>
      </c>
      <c r="E42" s="792">
        <f>Zamb!E53</f>
        <v>0</v>
      </c>
      <c r="F42" s="791">
        <f>Zamb!F53</f>
        <v>0</v>
      </c>
      <c r="G42" s="792">
        <f>Zamb!G53</f>
        <v>0</v>
      </c>
      <c r="H42" s="791">
        <f>Zamb!H53</f>
        <v>0</v>
      </c>
      <c r="I42" s="792">
        <f>Zamb!I53</f>
        <v>0</v>
      </c>
      <c r="J42" s="791">
        <f>Zamb!J53</f>
        <v>0</v>
      </c>
      <c r="K42" s="792">
        <f>Zamb!K53</f>
        <v>0</v>
      </c>
      <c r="L42" s="791">
        <f>Zamb!L53</f>
        <v>0</v>
      </c>
      <c r="M42" s="792">
        <f>Zamb!M53</f>
        <v>0</v>
      </c>
    </row>
    <row r="44" spans="1:13" ht="15" customHeight="1" x14ac:dyDescent="0.25">
      <c r="A44" s="889" t="s">
        <v>303</v>
      </c>
      <c r="B44" s="895" t="s">
        <v>387</v>
      </c>
      <c r="C44" s="895"/>
      <c r="D44" s="895"/>
      <c r="E44" s="895"/>
      <c r="F44" s="895" t="s">
        <v>418</v>
      </c>
      <c r="G44" s="895"/>
      <c r="H44" s="895"/>
      <c r="I44" s="895"/>
      <c r="J44" s="895" t="s">
        <v>419</v>
      </c>
      <c r="K44" s="895"/>
      <c r="L44" s="895"/>
      <c r="M44" s="895"/>
    </row>
    <row r="45" spans="1:13" ht="15" customHeight="1" x14ac:dyDescent="0.25">
      <c r="A45" s="889"/>
      <c r="B45" s="894" t="s">
        <v>327</v>
      </c>
      <c r="C45" s="894"/>
      <c r="D45" s="894" t="s">
        <v>333</v>
      </c>
      <c r="E45" s="894"/>
      <c r="F45" s="894" t="s">
        <v>327</v>
      </c>
      <c r="G45" s="894"/>
      <c r="H45" s="894" t="s">
        <v>333</v>
      </c>
      <c r="I45" s="894"/>
      <c r="J45" s="894" t="s">
        <v>327</v>
      </c>
      <c r="K45" s="894"/>
      <c r="L45" s="894" t="s">
        <v>333</v>
      </c>
      <c r="M45" s="894"/>
    </row>
    <row r="46" spans="1:13" ht="60" x14ac:dyDescent="0.25">
      <c r="A46" s="889"/>
      <c r="B46" s="780" t="s">
        <v>308</v>
      </c>
      <c r="C46" s="781" t="s">
        <v>60</v>
      </c>
      <c r="D46" s="780" t="s">
        <v>332</v>
      </c>
      <c r="E46" s="782" t="s">
        <v>305</v>
      </c>
      <c r="F46" s="780" t="s">
        <v>308</v>
      </c>
      <c r="G46" s="781" t="s">
        <v>60</v>
      </c>
      <c r="H46" s="780" t="s">
        <v>332</v>
      </c>
      <c r="I46" s="782" t="s">
        <v>305</v>
      </c>
      <c r="J46" s="780" t="s">
        <v>308</v>
      </c>
      <c r="K46" s="781" t="s">
        <v>60</v>
      </c>
      <c r="L46" s="780" t="s">
        <v>332</v>
      </c>
      <c r="M46" s="782" t="s">
        <v>305</v>
      </c>
    </row>
    <row r="47" spans="1:13" x14ac:dyDescent="0.25">
      <c r="A47" s="783" t="s">
        <v>81</v>
      </c>
      <c r="B47" s="784">
        <f>SUM(B48:B54)</f>
        <v>0</v>
      </c>
      <c r="C47" s="784">
        <f t="shared" ref="C47:E47" si="3">SUM(C48:C54)</f>
        <v>0</v>
      </c>
      <c r="D47" s="784">
        <f t="shared" si="3"/>
        <v>0</v>
      </c>
      <c r="E47" s="789">
        <f t="shared" si="3"/>
        <v>0</v>
      </c>
      <c r="F47" s="784">
        <f>SUM(F48:F54)</f>
        <v>0</v>
      </c>
      <c r="G47" s="784">
        <f t="shared" ref="G47:I47" si="4">SUM(G48:G54)</f>
        <v>0</v>
      </c>
      <c r="H47" s="784">
        <f t="shared" si="4"/>
        <v>0</v>
      </c>
      <c r="I47" s="789">
        <f t="shared" si="4"/>
        <v>0</v>
      </c>
      <c r="J47" s="784">
        <f>SUM(J48:J54)</f>
        <v>0</v>
      </c>
      <c r="K47" s="784">
        <f t="shared" ref="K47" si="5">SUM(K48:K54)</f>
        <v>0</v>
      </c>
      <c r="L47" s="784">
        <f t="shared" ref="L47" si="6">SUM(L48:L54)</f>
        <v>0</v>
      </c>
      <c r="M47" s="789">
        <f t="shared" ref="M47" si="7">SUM(M48:M54)</f>
        <v>0</v>
      </c>
    </row>
    <row r="48" spans="1:13" x14ac:dyDescent="0.25">
      <c r="A48" s="780" t="s">
        <v>246</v>
      </c>
      <c r="B48" s="780"/>
      <c r="C48" s="782"/>
      <c r="D48" s="780"/>
      <c r="E48" s="782"/>
      <c r="F48" s="780"/>
      <c r="G48" s="782"/>
      <c r="H48" s="780"/>
      <c r="I48" s="782"/>
      <c r="J48" s="780"/>
      <c r="K48" s="782"/>
      <c r="L48" s="780">
        <f>'Aurora_Lone District'!L39</f>
        <v>0</v>
      </c>
      <c r="M48" s="782">
        <f>'Aurora_Lone District'!M39</f>
        <v>0</v>
      </c>
    </row>
    <row r="49" spans="1:13" x14ac:dyDescent="0.25">
      <c r="A49" s="780" t="s">
        <v>247</v>
      </c>
      <c r="B49" s="793">
        <f>Bat!F50</f>
        <v>0</v>
      </c>
      <c r="C49" s="793">
        <f>Bat!G50</f>
        <v>0</v>
      </c>
      <c r="D49" s="794">
        <f>Bat!H50</f>
        <v>0</v>
      </c>
      <c r="E49" s="782">
        <f>Bat!I50</f>
        <v>0</v>
      </c>
      <c r="F49" s="780"/>
      <c r="G49" s="782"/>
      <c r="H49" s="780"/>
      <c r="I49" s="782"/>
      <c r="J49" s="780"/>
      <c r="K49" s="782"/>
      <c r="L49" s="780">
        <f>'Aurora_Lone District'!L40</f>
        <v>0</v>
      </c>
      <c r="M49" s="782">
        <f>'Aurora_Lone District'!M40</f>
        <v>0</v>
      </c>
    </row>
    <row r="50" spans="1:13" x14ac:dyDescent="0.25">
      <c r="A50" s="780" t="s">
        <v>91</v>
      </c>
      <c r="B50" s="780"/>
      <c r="C50" s="782"/>
      <c r="D50" s="780"/>
      <c r="E50" s="782"/>
      <c r="F50" s="780"/>
      <c r="G50" s="782"/>
      <c r="H50" s="780"/>
      <c r="I50" s="782"/>
      <c r="J50" s="780"/>
      <c r="K50" s="782"/>
      <c r="L50" s="780">
        <f>'Aurora_Lone District'!L41</f>
        <v>0</v>
      </c>
      <c r="M50" s="782">
        <f>'Aurora_Lone District'!M41</f>
        <v>0</v>
      </c>
    </row>
    <row r="51" spans="1:13" x14ac:dyDescent="0.25">
      <c r="A51" s="780" t="s">
        <v>370</v>
      </c>
      <c r="B51" s="780"/>
      <c r="C51" s="782"/>
      <c r="D51" s="780"/>
      <c r="E51" s="782"/>
      <c r="F51" s="780"/>
      <c r="G51" s="782"/>
      <c r="H51" s="780"/>
      <c r="I51" s="782"/>
      <c r="J51" s="780"/>
      <c r="K51" s="782"/>
      <c r="L51" s="780">
        <f>'Aurora_Lone District'!L42</f>
        <v>0</v>
      </c>
      <c r="M51" s="782">
        <f>'Aurora_Lone District'!M42</f>
        <v>0</v>
      </c>
    </row>
    <row r="52" spans="1:13" x14ac:dyDescent="0.25">
      <c r="A52" s="780" t="s">
        <v>371</v>
      </c>
      <c r="B52" s="780"/>
      <c r="C52" s="782"/>
      <c r="D52" s="780"/>
      <c r="E52" s="782"/>
      <c r="F52" s="780"/>
      <c r="G52" s="782"/>
      <c r="H52" s="780"/>
      <c r="I52" s="782"/>
      <c r="J52" s="780"/>
      <c r="K52" s="782"/>
      <c r="L52" s="780">
        <f>'Aurora_Lone District'!L43</f>
        <v>0</v>
      </c>
      <c r="M52" s="782">
        <f>'Aurora_Lone District'!M43</f>
        <v>0</v>
      </c>
    </row>
    <row r="53" spans="1:13" x14ac:dyDescent="0.25">
      <c r="A53" s="780" t="s">
        <v>372</v>
      </c>
      <c r="B53" s="780"/>
      <c r="C53" s="782"/>
      <c r="D53" s="780"/>
      <c r="E53" s="782"/>
      <c r="F53" s="780"/>
      <c r="G53" s="782"/>
      <c r="H53" s="780">
        <f>Tar!D89</f>
        <v>0</v>
      </c>
      <c r="I53" s="782">
        <f>Tar!E89</f>
        <v>0</v>
      </c>
      <c r="J53" s="780"/>
      <c r="K53" s="782"/>
      <c r="L53" s="780">
        <f>'Aurora_Lone District'!L44</f>
        <v>0</v>
      </c>
      <c r="M53" s="782">
        <f>'Aurora_Lone District'!M44</f>
        <v>0</v>
      </c>
    </row>
    <row r="54" spans="1:13" x14ac:dyDescent="0.25">
      <c r="A54" s="780" t="s">
        <v>291</v>
      </c>
      <c r="B54" s="791"/>
      <c r="C54" s="795"/>
      <c r="D54" s="791">
        <f>Zamb!D75</f>
        <v>0</v>
      </c>
      <c r="E54" s="792">
        <f>Zamb!E75</f>
        <v>0</v>
      </c>
      <c r="F54" s="791"/>
      <c r="G54" s="795"/>
      <c r="H54" s="791"/>
      <c r="I54" s="795"/>
      <c r="J54" s="791"/>
      <c r="K54" s="795"/>
      <c r="L54" s="780">
        <f>'Aurora_Lone District'!L45</f>
        <v>0</v>
      </c>
      <c r="M54" s="782">
        <f>'Aurora_Lone District'!M45</f>
        <v>0</v>
      </c>
    </row>
    <row r="55" spans="1:13" s="768" customFormat="1" x14ac:dyDescent="0.25">
      <c r="A55" s="771"/>
      <c r="B55" s="775"/>
      <c r="C55" s="770"/>
      <c r="D55" s="775"/>
      <c r="E55" s="778"/>
      <c r="F55" s="775"/>
      <c r="G55" s="770"/>
      <c r="H55" s="775"/>
      <c r="I55" s="770"/>
      <c r="J55" s="775"/>
      <c r="K55" s="770"/>
      <c r="L55" s="771"/>
      <c r="M55" s="776"/>
    </row>
    <row r="56" spans="1:13" s="768" customFormat="1" x14ac:dyDescent="0.25">
      <c r="A56" s="771"/>
      <c r="B56" s="775"/>
      <c r="C56" s="770"/>
      <c r="D56" s="775"/>
      <c r="E56" s="778"/>
      <c r="F56" s="775"/>
      <c r="G56" s="770"/>
      <c r="H56" s="775"/>
      <c r="I56" s="770"/>
      <c r="J56" s="775"/>
      <c r="K56" s="770"/>
      <c r="L56" s="771"/>
      <c r="M56" s="776"/>
    </row>
    <row r="57" spans="1:13" s="768" customFormat="1" x14ac:dyDescent="0.25">
      <c r="A57" s="771"/>
      <c r="B57" s="775"/>
      <c r="C57" s="770"/>
      <c r="D57" s="775"/>
      <c r="E57" s="778"/>
      <c r="F57" s="775"/>
      <c r="G57" s="770"/>
      <c r="H57" s="775"/>
      <c r="I57" s="770"/>
      <c r="J57" s="775"/>
      <c r="K57" s="770"/>
      <c r="L57" s="771"/>
      <c r="M57" s="776"/>
    </row>
    <row r="58" spans="1:13" ht="21.75" customHeight="1" x14ac:dyDescent="0.25">
      <c r="A58" s="889" t="s">
        <v>303</v>
      </c>
      <c r="B58" s="895" t="s">
        <v>386</v>
      </c>
      <c r="C58" s="895"/>
      <c r="D58" s="895"/>
      <c r="E58" s="895"/>
      <c r="F58" s="890" t="s">
        <v>81</v>
      </c>
      <c r="G58" s="890"/>
      <c r="H58" s="890"/>
      <c r="I58" s="890"/>
    </row>
    <row r="59" spans="1:13" ht="15" customHeight="1" x14ac:dyDescent="0.25">
      <c r="A59" s="889"/>
      <c r="B59" s="894" t="s">
        <v>327</v>
      </c>
      <c r="C59" s="894"/>
      <c r="D59" s="894" t="s">
        <v>333</v>
      </c>
      <c r="E59" s="894"/>
      <c r="F59" s="894" t="s">
        <v>60</v>
      </c>
      <c r="G59" s="894"/>
      <c r="H59" s="894" t="s">
        <v>305</v>
      </c>
      <c r="I59" s="894"/>
    </row>
    <row r="60" spans="1:13" ht="45" x14ac:dyDescent="0.25">
      <c r="A60" s="889"/>
      <c r="B60" s="780" t="s">
        <v>308</v>
      </c>
      <c r="C60" s="781" t="s">
        <v>60</v>
      </c>
      <c r="D60" s="780" t="s">
        <v>332</v>
      </c>
      <c r="E60" s="782" t="s">
        <v>305</v>
      </c>
      <c r="F60" s="894"/>
      <c r="G60" s="894"/>
      <c r="H60" s="894"/>
      <c r="I60" s="894"/>
    </row>
    <row r="61" spans="1:13" x14ac:dyDescent="0.25">
      <c r="A61" s="783" t="s">
        <v>81</v>
      </c>
      <c r="B61" s="784">
        <f>SUM(B62:B68)</f>
        <v>0</v>
      </c>
      <c r="C61" s="784">
        <f t="shared" ref="C61:E61" si="8">SUM(C62:C68)</f>
        <v>0</v>
      </c>
      <c r="D61" s="784">
        <f t="shared" si="8"/>
        <v>0</v>
      </c>
      <c r="E61" s="789">
        <f t="shared" si="8"/>
        <v>0</v>
      </c>
      <c r="F61" s="891">
        <f>SUM(F62:F68)</f>
        <v>5468329173.3099995</v>
      </c>
      <c r="G61" s="891"/>
      <c r="H61" s="891">
        <f>SUM(H62:H68)</f>
        <v>3841511177</v>
      </c>
      <c r="I61" s="891"/>
    </row>
    <row r="62" spans="1:13" x14ac:dyDescent="0.25">
      <c r="A62" s="780" t="s">
        <v>246</v>
      </c>
      <c r="B62" s="780"/>
      <c r="C62" s="782"/>
      <c r="D62" s="780"/>
      <c r="E62" s="782"/>
      <c r="F62" s="888">
        <f t="shared" ref="F62:F68" si="9">C12+G12+K12+C24+G24+K24+C36+G36+K36+C48+G48+K48+C62</f>
        <v>177038150</v>
      </c>
      <c r="G62" s="888"/>
      <c r="H62" s="888">
        <f t="shared" ref="H62:H68" si="10">E12+I12+M12+E24+I24+M24+E36+I36+M36+E48+I48+M48+E62</f>
        <v>120795488</v>
      </c>
      <c r="I62" s="888"/>
    </row>
    <row r="63" spans="1:13" x14ac:dyDescent="0.25">
      <c r="A63" s="780" t="s">
        <v>247</v>
      </c>
      <c r="B63" s="780"/>
      <c r="C63" s="782"/>
      <c r="D63" s="780"/>
      <c r="E63" s="782"/>
      <c r="F63" s="888">
        <f t="shared" si="9"/>
        <v>322010280</v>
      </c>
      <c r="G63" s="888"/>
      <c r="H63" s="888">
        <f t="shared" si="10"/>
        <v>260830343</v>
      </c>
      <c r="I63" s="888"/>
    </row>
    <row r="64" spans="1:13" x14ac:dyDescent="0.25">
      <c r="A64" s="780" t="s">
        <v>91</v>
      </c>
      <c r="B64" s="780"/>
      <c r="C64" s="782"/>
      <c r="D64" s="780"/>
      <c r="E64" s="782"/>
      <c r="F64" s="888">
        <f t="shared" si="9"/>
        <v>1259072685.7</v>
      </c>
      <c r="G64" s="888"/>
      <c r="H64" s="888">
        <f t="shared" si="10"/>
        <v>910968360</v>
      </c>
      <c r="I64" s="888"/>
    </row>
    <row r="65" spans="1:9" x14ac:dyDescent="0.25">
      <c r="A65" s="780" t="s">
        <v>370</v>
      </c>
      <c r="B65" s="780"/>
      <c r="C65" s="782"/>
      <c r="D65" s="780"/>
      <c r="E65" s="782"/>
      <c r="F65" s="888">
        <f t="shared" si="9"/>
        <v>1595575914.8699999</v>
      </c>
      <c r="G65" s="888"/>
      <c r="H65" s="888">
        <f t="shared" si="10"/>
        <v>1031515896</v>
      </c>
      <c r="I65" s="888"/>
    </row>
    <row r="66" spans="1:9" x14ac:dyDescent="0.25">
      <c r="A66" s="780" t="s">
        <v>371</v>
      </c>
      <c r="B66" s="780"/>
      <c r="C66" s="782"/>
      <c r="D66" s="780">
        <f>Pamp!D106</f>
        <v>0</v>
      </c>
      <c r="E66" s="782">
        <f>Pamp!E106</f>
        <v>0</v>
      </c>
      <c r="F66" s="888">
        <f t="shared" si="9"/>
        <v>958248921.74000001</v>
      </c>
      <c r="G66" s="888"/>
      <c r="H66" s="888">
        <f t="shared" si="10"/>
        <v>729913179</v>
      </c>
      <c r="I66" s="888"/>
    </row>
    <row r="67" spans="1:9" x14ac:dyDescent="0.25">
      <c r="A67" s="780" t="s">
        <v>372</v>
      </c>
      <c r="B67" s="780"/>
      <c r="C67" s="782"/>
      <c r="D67" s="780"/>
      <c r="E67" s="782"/>
      <c r="F67" s="888">
        <f t="shared" si="9"/>
        <v>755575861</v>
      </c>
      <c r="G67" s="888"/>
      <c r="H67" s="888">
        <f t="shared" si="10"/>
        <v>530103707</v>
      </c>
      <c r="I67" s="888"/>
    </row>
    <row r="68" spans="1:9" x14ac:dyDescent="0.25">
      <c r="A68" s="780" t="s">
        <v>291</v>
      </c>
      <c r="B68" s="791"/>
      <c r="C68" s="795"/>
      <c r="D68" s="791"/>
      <c r="E68" s="795"/>
      <c r="F68" s="888">
        <f t="shared" si="9"/>
        <v>400807360</v>
      </c>
      <c r="G68" s="888"/>
      <c r="H68" s="888">
        <f t="shared" si="10"/>
        <v>257384204</v>
      </c>
      <c r="I68" s="888"/>
    </row>
  </sheetData>
  <mergeCells count="68">
    <mergeCell ref="A58:A60"/>
    <mergeCell ref="B58:E58"/>
    <mergeCell ref="B59:C59"/>
    <mergeCell ref="D59:E59"/>
    <mergeCell ref="J44:M44"/>
    <mergeCell ref="J45:K45"/>
    <mergeCell ref="L45:M45"/>
    <mergeCell ref="B44:E44"/>
    <mergeCell ref="B45:C45"/>
    <mergeCell ref="D45:E45"/>
    <mergeCell ref="F44:I44"/>
    <mergeCell ref="F45:G45"/>
    <mergeCell ref="H45:I45"/>
    <mergeCell ref="F59:G60"/>
    <mergeCell ref="H59:I60"/>
    <mergeCell ref="A32:A34"/>
    <mergeCell ref="B32:E32"/>
    <mergeCell ref="F32:I32"/>
    <mergeCell ref="J32:M32"/>
    <mergeCell ref="B33:C33"/>
    <mergeCell ref="D33:E33"/>
    <mergeCell ref="F33:G33"/>
    <mergeCell ref="H33:I33"/>
    <mergeCell ref="H9:I9"/>
    <mergeCell ref="J9:K9"/>
    <mergeCell ref="L9:M9"/>
    <mergeCell ref="A20:A22"/>
    <mergeCell ref="B20:E20"/>
    <mergeCell ref="F20:I20"/>
    <mergeCell ref="J20:M20"/>
    <mergeCell ref="B21:C21"/>
    <mergeCell ref="D21:E21"/>
    <mergeCell ref="F21:G21"/>
    <mergeCell ref="H21:I21"/>
    <mergeCell ref="J21:K21"/>
    <mergeCell ref="L21:M21"/>
    <mergeCell ref="F61:G61"/>
    <mergeCell ref="H61:I61"/>
    <mergeCell ref="A1:M1"/>
    <mergeCell ref="A2:M2"/>
    <mergeCell ref="A3:M3"/>
    <mergeCell ref="A5:M5"/>
    <mergeCell ref="J33:K33"/>
    <mergeCell ref="L33:M33"/>
    <mergeCell ref="A6:M6"/>
    <mergeCell ref="A8:A10"/>
    <mergeCell ref="B8:E8"/>
    <mergeCell ref="F8:I8"/>
    <mergeCell ref="J8:M8"/>
    <mergeCell ref="B9:C9"/>
    <mergeCell ref="D9:E9"/>
    <mergeCell ref="F9:G9"/>
    <mergeCell ref="F68:G68"/>
    <mergeCell ref="H68:I68"/>
    <mergeCell ref="A44:A46"/>
    <mergeCell ref="F65:G65"/>
    <mergeCell ref="H65:I65"/>
    <mergeCell ref="F66:G66"/>
    <mergeCell ref="H66:I66"/>
    <mergeCell ref="F67:G67"/>
    <mergeCell ref="H67:I67"/>
    <mergeCell ref="F62:G62"/>
    <mergeCell ref="H62:I62"/>
    <mergeCell ref="F63:G63"/>
    <mergeCell ref="H63:I63"/>
    <mergeCell ref="F64:G64"/>
    <mergeCell ref="H64:I64"/>
    <mergeCell ref="F58:I58"/>
  </mergeCells>
  <pageMargins left="1.08" right="0.56999999999999995" top="0.54" bottom="0.57999999999999996" header="0.3" footer="0.3"/>
  <pageSetup paperSize="5" scale="67" orientation="landscape" horizontalDpi="4294967293" verticalDpi="4294967293"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271</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272</v>
      </c>
      <c r="D8" s="224">
        <f>SUM(D9:D11)</f>
        <v>13</v>
      </c>
      <c r="E8" s="84">
        <f>SUM(E9:E11)</f>
        <v>11470675</v>
      </c>
    </row>
    <row r="9" spans="1:5" s="3" customFormat="1" ht="21.75" customHeight="1" x14ac:dyDescent="0.25">
      <c r="A9" s="870"/>
      <c r="B9" s="1066"/>
      <c r="C9" s="259" t="s">
        <v>154</v>
      </c>
      <c r="D9" s="260">
        <v>5</v>
      </c>
      <c r="E9" s="261">
        <v>2252500</v>
      </c>
    </row>
    <row r="10" spans="1:5" s="3" customFormat="1" ht="21.75" customHeight="1" x14ac:dyDescent="0.25">
      <c r="A10" s="870"/>
      <c r="B10" s="1066"/>
      <c r="C10" s="259" t="s">
        <v>155</v>
      </c>
      <c r="D10" s="260">
        <v>3</v>
      </c>
      <c r="E10" s="261">
        <v>4256800</v>
      </c>
    </row>
    <row r="11" spans="1:5" s="3" customFormat="1" ht="21.75" customHeight="1" x14ac:dyDescent="0.25">
      <c r="A11" s="873"/>
      <c r="B11" s="1065"/>
      <c r="C11" s="259" t="s">
        <v>273</v>
      </c>
      <c r="D11" s="260">
        <v>5</v>
      </c>
      <c r="E11" s="261">
        <v>4961375</v>
      </c>
    </row>
    <row r="12" spans="1:5" ht="21" customHeight="1" x14ac:dyDescent="0.3">
      <c r="A12" s="52"/>
      <c r="B12" s="258"/>
      <c r="C12" s="115"/>
      <c r="D12" s="251"/>
      <c r="E12" s="252"/>
    </row>
    <row r="13" spans="1:5" ht="15" customHeight="1" x14ac:dyDescent="0.25">
      <c r="A13" s="52"/>
      <c r="B13" s="258"/>
      <c r="C13" s="115"/>
      <c r="D13" s="251"/>
      <c r="E13" s="252"/>
    </row>
    <row r="14" spans="1:5" x14ac:dyDescent="0.25">
      <c r="A14" t="s">
        <v>27</v>
      </c>
      <c r="B14" t="s">
        <v>29</v>
      </c>
      <c r="D14" t="s">
        <v>32</v>
      </c>
    </row>
    <row r="15" spans="1:5" x14ac:dyDescent="0.25">
      <c r="A15" t="s">
        <v>223</v>
      </c>
      <c r="B15" t="s">
        <v>30</v>
      </c>
      <c r="D15" t="s">
        <v>33</v>
      </c>
    </row>
  </sheetData>
  <mergeCells count="10">
    <mergeCell ref="A8:A11"/>
    <mergeCell ref="B8:B11"/>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opLeftCell="A46" workbookViewId="0">
      <selection activeCell="A6" sqref="A6:F12"/>
    </sheetView>
  </sheetViews>
  <sheetFormatPr defaultRowHeight="15" x14ac:dyDescent="0.25"/>
  <cols>
    <col min="1" max="1" width="30.85546875" customWidth="1"/>
    <col min="2" max="2" width="42" customWidth="1"/>
    <col min="3" max="3" width="15.140625" customWidth="1"/>
    <col min="4" max="4" width="20" customWidth="1"/>
    <col min="5" max="5" width="10.85546875" customWidth="1"/>
    <col min="6" max="6" width="18.570312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237</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60"/>
      <c r="B8" s="925"/>
      <c r="C8" s="860"/>
      <c r="D8" s="922"/>
      <c r="E8" s="922"/>
      <c r="F8" s="1059"/>
      <c r="G8" s="217" t="s">
        <v>48</v>
      </c>
      <c r="H8" s="217" t="s">
        <v>60</v>
      </c>
    </row>
    <row r="9" spans="1:8" s="12" customFormat="1" ht="20.25" customHeight="1" x14ac:dyDescent="0.25">
      <c r="A9" s="10" t="s">
        <v>14</v>
      </c>
      <c r="B9" s="10"/>
      <c r="C9" s="11"/>
      <c r="D9" s="11"/>
      <c r="E9" s="14"/>
      <c r="F9" s="92">
        <f>F11+F18+F25+F32+F44+F59+F66</f>
        <v>82425618.989999995</v>
      </c>
      <c r="G9" s="11"/>
      <c r="H9" s="92">
        <f>H11+H18+H25+H32+H44+H59+H66</f>
        <v>193992000</v>
      </c>
    </row>
    <row r="10" spans="1:8" s="8" customFormat="1" ht="5.25" customHeight="1" x14ac:dyDescent="0.25">
      <c r="A10" s="7"/>
      <c r="B10" s="7"/>
      <c r="C10" s="7"/>
      <c r="D10" s="7"/>
      <c r="E10" s="7"/>
      <c r="F10" s="93"/>
      <c r="G10" s="7"/>
      <c r="H10" s="7"/>
    </row>
    <row r="11" spans="1:8" s="3" customFormat="1" ht="21.75" customHeight="1" x14ac:dyDescent="0.25">
      <c r="A11" s="869" t="s">
        <v>5</v>
      </c>
      <c r="B11" s="867" t="s">
        <v>50</v>
      </c>
      <c r="C11" s="871" t="s">
        <v>21</v>
      </c>
      <c r="D11" s="70" t="s">
        <v>97</v>
      </c>
      <c r="E11" s="70">
        <f>SUM(E12:E16)</f>
        <v>10757</v>
      </c>
      <c r="F11" s="84">
        <f>SUM(F12:F16)</f>
        <v>70410200</v>
      </c>
      <c r="G11" s="70">
        <f>SUM(G12:G16)</f>
        <v>11195</v>
      </c>
      <c r="H11" s="71">
        <f>SUM(H12:H16)</f>
        <v>167925000</v>
      </c>
    </row>
    <row r="12" spans="1:8" s="3" customFormat="1" ht="18" customHeight="1" x14ac:dyDescent="0.25">
      <c r="A12" s="870"/>
      <c r="B12" s="868"/>
      <c r="C12" s="872"/>
      <c r="D12" s="83" t="s">
        <v>159</v>
      </c>
      <c r="E12" s="30">
        <v>3451</v>
      </c>
      <c r="F12" s="37">
        <v>23663000</v>
      </c>
      <c r="G12" s="4">
        <v>3617</v>
      </c>
      <c r="H12" s="17">
        <v>54255000</v>
      </c>
    </row>
    <row r="13" spans="1:8" s="2" customFormat="1" ht="14.25" customHeight="1" x14ac:dyDescent="0.25">
      <c r="A13" s="870"/>
      <c r="B13" s="868"/>
      <c r="C13" s="872"/>
      <c r="D13" s="83" t="s">
        <v>160</v>
      </c>
      <c r="E13" s="30">
        <v>763</v>
      </c>
      <c r="F13" s="37">
        <v>4253200</v>
      </c>
      <c r="G13" s="4">
        <v>784</v>
      </c>
      <c r="H13" s="17">
        <v>11760000</v>
      </c>
    </row>
    <row r="14" spans="1:8" s="2" customFormat="1" ht="14.25" customHeight="1" x14ac:dyDescent="0.25">
      <c r="A14" s="870"/>
      <c r="B14" s="868"/>
      <c r="C14" s="872"/>
      <c r="D14" s="83" t="s">
        <v>161</v>
      </c>
      <c r="E14" s="30">
        <v>2547</v>
      </c>
      <c r="F14" s="37">
        <v>17680000</v>
      </c>
      <c r="G14" s="4">
        <v>2597</v>
      </c>
      <c r="H14" s="17">
        <v>38955000</v>
      </c>
    </row>
    <row r="15" spans="1:8" s="2" customFormat="1" ht="14.25" customHeight="1" x14ac:dyDescent="0.25">
      <c r="A15" s="870"/>
      <c r="B15" s="868"/>
      <c r="C15" s="872"/>
      <c r="D15" s="83" t="s">
        <v>162</v>
      </c>
      <c r="E15" s="30">
        <v>2732</v>
      </c>
      <c r="F15" s="37">
        <v>16321400</v>
      </c>
      <c r="G15" s="4">
        <v>2867</v>
      </c>
      <c r="H15" s="17">
        <v>43005000</v>
      </c>
    </row>
    <row r="16" spans="1:8" s="2" customFormat="1" ht="42" customHeight="1" x14ac:dyDescent="0.25">
      <c r="A16" s="870"/>
      <c r="B16" s="874"/>
      <c r="C16" s="875"/>
      <c r="D16" s="195" t="s">
        <v>163</v>
      </c>
      <c r="E16" s="233">
        <v>1264</v>
      </c>
      <c r="F16" s="234">
        <v>8492600</v>
      </c>
      <c r="G16" s="196">
        <v>1330</v>
      </c>
      <c r="H16" s="197">
        <v>19950000</v>
      </c>
    </row>
    <row r="17" spans="1:8" s="8" customFormat="1" ht="5.25" customHeight="1" x14ac:dyDescent="0.25">
      <c r="A17" s="7"/>
      <c r="B17" s="7"/>
      <c r="C17" s="7"/>
      <c r="D17" s="7"/>
      <c r="E17" s="7"/>
      <c r="F17" s="93"/>
      <c r="G17" s="7"/>
      <c r="H17" s="7"/>
    </row>
    <row r="18" spans="1:8" s="9" customFormat="1" ht="18.75" customHeight="1" x14ac:dyDescent="0.25">
      <c r="A18" s="869" t="s">
        <v>7</v>
      </c>
      <c r="B18" s="832" t="s">
        <v>52</v>
      </c>
      <c r="C18" s="871" t="s">
        <v>53</v>
      </c>
      <c r="D18" s="70" t="s">
        <v>97</v>
      </c>
      <c r="E18" s="70">
        <f>SUM(E19:E23)</f>
        <v>687</v>
      </c>
      <c r="F18" s="84">
        <f>SUM(F19:F23)</f>
        <v>3328000</v>
      </c>
      <c r="G18" s="70">
        <f>SUM(G19:G23)</f>
        <v>300</v>
      </c>
      <c r="H18" s="71">
        <f>SUM(H19:H23)</f>
        <v>1500000</v>
      </c>
    </row>
    <row r="19" spans="1:8" s="3" customFormat="1" ht="20.25" customHeight="1" x14ac:dyDescent="0.25">
      <c r="A19" s="870"/>
      <c r="B19" s="832"/>
      <c r="C19" s="872"/>
      <c r="D19" s="83" t="s">
        <v>159</v>
      </c>
      <c r="E19" s="30">
        <f>112+4</f>
        <v>116</v>
      </c>
      <c r="F19" s="37">
        <v>565000</v>
      </c>
      <c r="G19" s="4">
        <v>60</v>
      </c>
      <c r="H19" s="17">
        <v>300000</v>
      </c>
    </row>
    <row r="20" spans="1:8" s="2" customFormat="1" ht="14.25" customHeight="1" x14ac:dyDescent="0.25">
      <c r="A20" s="870"/>
      <c r="B20" s="832"/>
      <c r="C20" s="872"/>
      <c r="D20" s="83" t="s">
        <v>160</v>
      </c>
      <c r="E20" s="30">
        <f>182+22+50</f>
        <v>254</v>
      </c>
      <c r="F20" s="37">
        <f>940000+250000</f>
        <v>1190000</v>
      </c>
      <c r="G20" s="4">
        <v>90</v>
      </c>
      <c r="H20" s="17">
        <v>450000</v>
      </c>
    </row>
    <row r="21" spans="1:8" s="2" customFormat="1" ht="14.25" customHeight="1" x14ac:dyDescent="0.25">
      <c r="A21" s="870"/>
      <c r="B21" s="832"/>
      <c r="C21" s="872"/>
      <c r="D21" s="83" t="s">
        <v>161</v>
      </c>
      <c r="E21" s="30">
        <f>74+84+36</f>
        <v>194</v>
      </c>
      <c r="F21" s="37">
        <f>623000+175000</f>
        <v>798000</v>
      </c>
      <c r="G21" s="4">
        <v>60</v>
      </c>
      <c r="H21" s="17">
        <v>300000</v>
      </c>
    </row>
    <row r="22" spans="1:8" s="2" customFormat="1" ht="14.25" customHeight="1" x14ac:dyDescent="0.25">
      <c r="A22" s="870"/>
      <c r="B22" s="832"/>
      <c r="C22" s="872"/>
      <c r="D22" s="83" t="s">
        <v>162</v>
      </c>
      <c r="E22" s="30">
        <f>20+70+27</f>
        <v>117</v>
      </c>
      <c r="F22" s="37">
        <f>580000+135000</f>
        <v>715000</v>
      </c>
      <c r="G22" s="4">
        <v>60</v>
      </c>
      <c r="H22" s="17">
        <v>300000</v>
      </c>
    </row>
    <row r="23" spans="1:8" s="2" customFormat="1" ht="33" customHeight="1" x14ac:dyDescent="0.25">
      <c r="A23" s="873"/>
      <c r="B23" s="832"/>
      <c r="C23" s="875"/>
      <c r="D23" s="195" t="s">
        <v>163</v>
      </c>
      <c r="E23" s="233">
        <f>4+2</f>
        <v>6</v>
      </c>
      <c r="F23" s="234">
        <f>40000+20000</f>
        <v>60000</v>
      </c>
      <c r="G23" s="196">
        <v>30</v>
      </c>
      <c r="H23" s="197">
        <v>150000</v>
      </c>
    </row>
    <row r="24" spans="1:8" s="8" customFormat="1" ht="5.25" customHeight="1" x14ac:dyDescent="0.25">
      <c r="A24" s="7"/>
      <c r="B24" s="7"/>
      <c r="C24" s="7"/>
      <c r="D24" s="7"/>
      <c r="E24" s="7"/>
      <c r="F24" s="93"/>
      <c r="G24" s="7"/>
      <c r="H24" s="7"/>
    </row>
    <row r="25" spans="1:8" s="9" customFormat="1" ht="19.5" customHeight="1" x14ac:dyDescent="0.25">
      <c r="A25" s="869" t="s">
        <v>6</v>
      </c>
      <c r="B25" s="867" t="s">
        <v>54</v>
      </c>
      <c r="C25" s="869" t="s">
        <v>20</v>
      </c>
      <c r="D25" s="70" t="s">
        <v>97</v>
      </c>
      <c r="E25" s="70">
        <f>SUM(E26:E30)</f>
        <v>8661</v>
      </c>
      <c r="F25" s="84">
        <f>SUM(F26:F30)</f>
        <v>4667240</v>
      </c>
      <c r="G25" s="70">
        <f>SUM(G26:G30)</f>
        <v>10825</v>
      </c>
      <c r="H25" s="71">
        <f>SUM(H26:H30)</f>
        <v>16887000</v>
      </c>
    </row>
    <row r="26" spans="1:8" s="3" customFormat="1" ht="21" customHeight="1" x14ac:dyDescent="0.25">
      <c r="A26" s="870"/>
      <c r="B26" s="868"/>
      <c r="C26" s="870"/>
      <c r="D26" s="83" t="s">
        <v>159</v>
      </c>
      <c r="E26" s="30">
        <v>2194</v>
      </c>
      <c r="F26" s="37">
        <v>3448940</v>
      </c>
      <c r="G26" s="4">
        <v>2633</v>
      </c>
      <c r="H26" s="17">
        <v>4107480</v>
      </c>
    </row>
    <row r="27" spans="1:8" s="2" customFormat="1" ht="14.25" customHeight="1" x14ac:dyDescent="0.25">
      <c r="A27" s="870"/>
      <c r="B27" s="868"/>
      <c r="C27" s="870"/>
      <c r="D27" s="83" t="s">
        <v>160</v>
      </c>
      <c r="E27" s="30">
        <v>1385</v>
      </c>
      <c r="F27" s="37"/>
      <c r="G27" s="4">
        <v>1662</v>
      </c>
      <c r="H27" s="17">
        <v>2592720</v>
      </c>
    </row>
    <row r="28" spans="1:8" s="2" customFormat="1" ht="14.25" customHeight="1" x14ac:dyDescent="0.25">
      <c r="A28" s="870"/>
      <c r="B28" s="868"/>
      <c r="C28" s="870"/>
      <c r="D28" s="83" t="s">
        <v>161</v>
      </c>
      <c r="E28" s="30">
        <v>3126</v>
      </c>
      <c r="F28" s="37"/>
      <c r="G28" s="4">
        <v>3183</v>
      </c>
      <c r="H28" s="17">
        <v>4965480</v>
      </c>
    </row>
    <row r="29" spans="1:8" s="2" customFormat="1" ht="14.25" customHeight="1" x14ac:dyDescent="0.25">
      <c r="A29" s="870"/>
      <c r="B29" s="868"/>
      <c r="C29" s="870"/>
      <c r="D29" s="83" t="s">
        <v>162</v>
      </c>
      <c r="E29" s="30">
        <v>1201</v>
      </c>
      <c r="F29" s="37" t="s">
        <v>208</v>
      </c>
      <c r="G29" s="4">
        <v>1941</v>
      </c>
      <c r="H29" s="17">
        <v>3027960</v>
      </c>
    </row>
    <row r="30" spans="1:8" s="2" customFormat="1" ht="18" customHeight="1" x14ac:dyDescent="0.25">
      <c r="A30" s="873"/>
      <c r="B30" s="874"/>
      <c r="C30" s="873"/>
      <c r="D30" s="83" t="s">
        <v>163</v>
      </c>
      <c r="E30" s="30">
        <v>755</v>
      </c>
      <c r="F30" s="37">
        <v>1218300</v>
      </c>
      <c r="G30" s="4">
        <v>1406</v>
      </c>
      <c r="H30" s="17">
        <v>2193360</v>
      </c>
    </row>
    <row r="31" spans="1:8" s="8" customFormat="1" ht="5.25" customHeight="1" x14ac:dyDescent="0.25">
      <c r="A31" s="7"/>
      <c r="B31" s="7"/>
      <c r="C31" s="7"/>
      <c r="D31" s="7"/>
      <c r="E31" s="7"/>
      <c r="F31" s="93"/>
      <c r="G31" s="7"/>
      <c r="H31" s="7"/>
    </row>
    <row r="32" spans="1:8" s="9" customFormat="1" ht="18.75" customHeight="1" x14ac:dyDescent="0.25">
      <c r="A32" s="869" t="s">
        <v>16</v>
      </c>
      <c r="B32" s="869" t="s">
        <v>55</v>
      </c>
      <c r="C32" s="869" t="s">
        <v>19</v>
      </c>
      <c r="D32" s="70" t="s">
        <v>97</v>
      </c>
      <c r="E32" s="70">
        <f>SUM(E33:E37)</f>
        <v>565</v>
      </c>
      <c r="F32" s="84">
        <f>SUM(F33:F37)</f>
        <v>2365500</v>
      </c>
      <c r="G32" s="70">
        <f>SUM(G33:G37)</f>
        <v>1280</v>
      </c>
      <c r="H32" s="71">
        <f>SUM(H33:H37)</f>
        <v>7680000</v>
      </c>
    </row>
    <row r="33" spans="1:8" s="3" customFormat="1" ht="18.75" customHeight="1" x14ac:dyDescent="0.25">
      <c r="A33" s="870"/>
      <c r="B33" s="870"/>
      <c r="C33" s="870"/>
      <c r="D33" s="83" t="s">
        <v>159</v>
      </c>
      <c r="E33" s="30">
        <v>139</v>
      </c>
      <c r="F33" s="37">
        <v>576500</v>
      </c>
      <c r="G33" s="4">
        <v>274</v>
      </c>
      <c r="H33" s="17">
        <v>1644000</v>
      </c>
    </row>
    <row r="34" spans="1:8" s="2" customFormat="1" ht="14.25" customHeight="1" x14ac:dyDescent="0.25">
      <c r="A34" s="870"/>
      <c r="B34" s="870"/>
      <c r="C34" s="870"/>
      <c r="D34" s="83" t="s">
        <v>160</v>
      </c>
      <c r="E34" s="30">
        <v>70</v>
      </c>
      <c r="F34" s="37">
        <v>287500</v>
      </c>
      <c r="G34" s="4">
        <v>240</v>
      </c>
      <c r="H34" s="17">
        <v>1440000</v>
      </c>
    </row>
    <row r="35" spans="1:8" s="2" customFormat="1" ht="14.25" customHeight="1" x14ac:dyDescent="0.25">
      <c r="A35" s="870"/>
      <c r="B35" s="870"/>
      <c r="C35" s="870"/>
      <c r="D35" s="83" t="s">
        <v>161</v>
      </c>
      <c r="E35" s="30">
        <v>107</v>
      </c>
      <c r="F35" s="37">
        <v>453000</v>
      </c>
      <c r="G35" s="4">
        <v>247</v>
      </c>
      <c r="H35" s="17">
        <v>1482000</v>
      </c>
    </row>
    <row r="36" spans="1:8" s="2" customFormat="1" ht="14.25" customHeight="1" x14ac:dyDescent="0.25">
      <c r="A36" s="870"/>
      <c r="B36" s="870"/>
      <c r="C36" s="870"/>
      <c r="D36" s="83" t="s">
        <v>162</v>
      </c>
      <c r="E36" s="30">
        <v>151</v>
      </c>
      <c r="F36" s="37">
        <v>612000</v>
      </c>
      <c r="G36" s="4">
        <v>286</v>
      </c>
      <c r="H36" s="17">
        <v>1716000</v>
      </c>
    </row>
    <row r="37" spans="1:8" s="2" customFormat="1" ht="19.5" customHeight="1" x14ac:dyDescent="0.25">
      <c r="A37" s="873"/>
      <c r="B37" s="873"/>
      <c r="C37" s="873"/>
      <c r="D37" s="83" t="s">
        <v>163</v>
      </c>
      <c r="E37" s="30">
        <v>98</v>
      </c>
      <c r="F37" s="37">
        <v>436500</v>
      </c>
      <c r="G37" s="4">
        <v>233</v>
      </c>
      <c r="H37" s="17">
        <v>1398000</v>
      </c>
    </row>
    <row r="38" spans="1:8" s="123" customFormat="1" ht="5.25" customHeight="1" x14ac:dyDescent="0.25">
      <c r="F38" s="174"/>
    </row>
    <row r="39" spans="1:8" s="123" customFormat="1" ht="5.25" customHeight="1" x14ac:dyDescent="0.25">
      <c r="F39" s="174"/>
    </row>
    <row r="40" spans="1:8" s="123" customFormat="1" ht="5.25" customHeight="1" x14ac:dyDescent="0.25">
      <c r="F40" s="174"/>
    </row>
    <row r="41" spans="1:8" s="123" customFormat="1" ht="5.25" customHeight="1" x14ac:dyDescent="0.25">
      <c r="F41" s="174"/>
    </row>
    <row r="42" spans="1:8" s="123" customFormat="1" ht="5.25" customHeight="1" x14ac:dyDescent="0.25">
      <c r="F42" s="174"/>
    </row>
    <row r="43" spans="1:8" s="123" customFormat="1" ht="5.25" customHeight="1" x14ac:dyDescent="0.25">
      <c r="F43" s="174"/>
    </row>
    <row r="44" spans="1:8" s="9" customFormat="1" ht="16.5" customHeight="1" x14ac:dyDescent="0.25">
      <c r="A44" s="869" t="s">
        <v>17</v>
      </c>
      <c r="B44" s="876" t="s">
        <v>56</v>
      </c>
      <c r="C44" s="869" t="s">
        <v>18</v>
      </c>
      <c r="D44" s="70" t="s">
        <v>97</v>
      </c>
      <c r="E44" s="70">
        <f>SUM(E45:E49)</f>
        <v>247</v>
      </c>
      <c r="F44" s="84">
        <f>SUM(F45:F49)</f>
        <v>357213.75</v>
      </c>
      <c r="G44" s="70">
        <f>SUM(G45:G49)</f>
        <v>0</v>
      </c>
      <c r="H44" s="71">
        <f>SUM(H45:H49)</f>
        <v>0</v>
      </c>
    </row>
    <row r="45" spans="1:8" s="3" customFormat="1" ht="21" customHeight="1" x14ac:dyDescent="0.25">
      <c r="A45" s="870"/>
      <c r="B45" s="877"/>
      <c r="C45" s="870"/>
      <c r="D45" s="83" t="s">
        <v>159</v>
      </c>
      <c r="E45" s="30">
        <f>1+4+4+6+1+3</f>
        <v>19</v>
      </c>
      <c r="F45" s="37">
        <f>500+4050+6000+6696+1500+850</f>
        <v>19596</v>
      </c>
      <c r="G45" s="4"/>
      <c r="H45" s="17"/>
    </row>
    <row r="46" spans="1:8" s="2" customFormat="1" ht="14.25" customHeight="1" x14ac:dyDescent="0.25">
      <c r="A46" s="870"/>
      <c r="B46" s="877"/>
      <c r="C46" s="870"/>
      <c r="D46" s="83" t="s">
        <v>160</v>
      </c>
      <c r="E46" s="30">
        <f>1+8+4+4+2+6</f>
        <v>25</v>
      </c>
      <c r="F46" s="37">
        <f>3000+8250+6500+10500+3000+5293.75</f>
        <v>36543.75</v>
      </c>
      <c r="G46" s="4"/>
      <c r="H46" s="17"/>
    </row>
    <row r="47" spans="1:8" s="2" customFormat="1" ht="14.25" customHeight="1" x14ac:dyDescent="0.25">
      <c r="A47" s="870"/>
      <c r="B47" s="877"/>
      <c r="C47" s="870"/>
      <c r="D47" s="83" t="s">
        <v>161</v>
      </c>
      <c r="E47" s="30">
        <f>21+37+12+20+15+1+4+24</f>
        <v>134</v>
      </c>
      <c r="F47" s="37">
        <f>33700+44000+18500+20644+25500+3000+7000+27384</f>
        <v>179728</v>
      </c>
      <c r="G47" s="4"/>
      <c r="H47" s="17"/>
    </row>
    <row r="48" spans="1:8" s="2" customFormat="1" ht="14.25" customHeight="1" x14ac:dyDescent="0.25">
      <c r="A48" s="870"/>
      <c r="B48" s="877"/>
      <c r="C48" s="870"/>
      <c r="D48" s="83" t="s">
        <v>162</v>
      </c>
      <c r="E48" s="30">
        <f>9+15+6+6+12+1+6+4</f>
        <v>59</v>
      </c>
      <c r="F48" s="37">
        <f>17896+18500+9500+7500+26000+10000+13000+5200</f>
        <v>107596</v>
      </c>
      <c r="G48" s="4"/>
      <c r="H48" s="17"/>
    </row>
    <row r="49" spans="1:9" s="2" customFormat="1" ht="15.75" customHeight="1" x14ac:dyDescent="0.25">
      <c r="A49" s="873"/>
      <c r="B49" s="878"/>
      <c r="C49" s="873"/>
      <c r="D49" s="83" t="s">
        <v>163</v>
      </c>
      <c r="E49" s="30">
        <f>3+3+1+1+2</f>
        <v>10</v>
      </c>
      <c r="F49" s="37">
        <f>3750+5000+2000+2000+1000</f>
        <v>13750</v>
      </c>
      <c r="G49" s="4"/>
      <c r="H49" s="17"/>
    </row>
    <row r="50" spans="1:9" s="8" customFormat="1" ht="5.25" customHeight="1" x14ac:dyDescent="0.25">
      <c r="A50" s="7"/>
      <c r="B50" s="7"/>
      <c r="C50" s="7"/>
      <c r="D50" s="7"/>
      <c r="E50" s="7"/>
      <c r="F50" s="93"/>
      <c r="G50" s="7"/>
      <c r="H50" s="7"/>
    </row>
    <row r="51" spans="1:9" s="9" customFormat="1" ht="34.5" hidden="1" customHeight="1" x14ac:dyDescent="0.25">
      <c r="A51" s="6" t="s">
        <v>22</v>
      </c>
      <c r="B51" s="831" t="s">
        <v>57</v>
      </c>
      <c r="C51" s="6" t="s">
        <v>37</v>
      </c>
      <c r="D51" s="6"/>
      <c r="E51" s="42">
        <f>SUM(E52:E57)</f>
        <v>227</v>
      </c>
      <c r="F51" s="94">
        <f>SUM(F52:F57)</f>
        <v>562960</v>
      </c>
      <c r="G51" s="6"/>
      <c r="H51" s="6"/>
    </row>
    <row r="52" spans="1:9" s="1" customFormat="1" ht="15" hidden="1" customHeight="1" x14ac:dyDescent="0.25">
      <c r="A52" s="972" t="s">
        <v>35</v>
      </c>
      <c r="B52" s="832"/>
      <c r="C52" s="5"/>
      <c r="D52" s="4" t="s">
        <v>42</v>
      </c>
      <c r="E52" s="44"/>
      <c r="F52" s="41"/>
      <c r="G52" s="5"/>
      <c r="H52" s="4" t="s">
        <v>8</v>
      </c>
    </row>
    <row r="53" spans="1:9" s="1" customFormat="1" ht="15" hidden="1" customHeight="1" x14ac:dyDescent="0.25">
      <c r="A53" s="918"/>
      <c r="B53" s="833"/>
      <c r="C53" s="5"/>
      <c r="D53" s="4" t="s">
        <v>43</v>
      </c>
      <c r="E53" s="44"/>
      <c r="F53" s="38"/>
      <c r="G53" s="5"/>
      <c r="H53" s="4" t="s">
        <v>9</v>
      </c>
    </row>
    <row r="54" spans="1:9" s="1" customFormat="1" ht="15" hidden="1" customHeight="1" x14ac:dyDescent="0.25">
      <c r="A54" s="918"/>
      <c r="B54" s="211"/>
      <c r="C54" s="5"/>
      <c r="D54" s="4" t="s">
        <v>44</v>
      </c>
      <c r="E54" s="45">
        <v>227</v>
      </c>
      <c r="F54" s="39">
        <v>562960</v>
      </c>
      <c r="G54" s="5"/>
      <c r="H54" s="4" t="s">
        <v>10</v>
      </c>
    </row>
    <row r="55" spans="1:9" s="1" customFormat="1" ht="15" hidden="1" customHeight="1" x14ac:dyDescent="0.25">
      <c r="A55" s="918"/>
      <c r="B55" s="211"/>
      <c r="C55" s="5"/>
      <c r="D55" s="4" t="s">
        <v>45</v>
      </c>
      <c r="E55" s="44"/>
      <c r="F55" s="39"/>
      <c r="G55" s="5"/>
      <c r="H55" s="4" t="s">
        <v>11</v>
      </c>
    </row>
    <row r="56" spans="1:9" s="1" customFormat="1" ht="15" hidden="1" customHeight="1" x14ac:dyDescent="0.25">
      <c r="A56" s="918"/>
      <c r="B56" s="211"/>
      <c r="C56" s="5"/>
      <c r="D56" s="4" t="s">
        <v>46</v>
      </c>
      <c r="E56" s="44"/>
      <c r="F56" s="39"/>
      <c r="G56" s="5"/>
      <c r="H56" s="4" t="s">
        <v>12</v>
      </c>
    </row>
    <row r="57" spans="1:9" s="1" customFormat="1" ht="15" hidden="1" customHeight="1" x14ac:dyDescent="0.25">
      <c r="A57" s="918"/>
      <c r="B57" s="211"/>
      <c r="C57" s="5"/>
      <c r="D57" s="4" t="s">
        <v>47</v>
      </c>
      <c r="E57" s="44"/>
      <c r="F57" s="40"/>
      <c r="G57" s="5"/>
      <c r="H57" s="4" t="s">
        <v>13</v>
      </c>
    </row>
    <row r="58" spans="1:9" s="8" customFormat="1" ht="8.25" hidden="1" customHeight="1" x14ac:dyDescent="0.25">
      <c r="A58" s="7"/>
      <c r="B58" s="7"/>
      <c r="C58" s="7"/>
      <c r="D58" s="7"/>
      <c r="E58" s="7"/>
      <c r="F58" s="93"/>
      <c r="G58" s="7"/>
      <c r="H58" s="7"/>
    </row>
    <row r="59" spans="1:9" s="9" customFormat="1" ht="20.25" customHeight="1" x14ac:dyDescent="0.25">
      <c r="A59" s="869" t="s">
        <v>23</v>
      </c>
      <c r="B59" s="831" t="s">
        <v>58</v>
      </c>
      <c r="C59" s="869" t="s">
        <v>24</v>
      </c>
      <c r="D59" s="70" t="s">
        <v>97</v>
      </c>
      <c r="E59" s="70">
        <f>SUM(E60:E64)</f>
        <v>3913</v>
      </c>
      <c r="F59" s="84">
        <f>SUM(F60:F64)</f>
        <v>1101750.97</v>
      </c>
      <c r="G59" s="70">
        <f>SUM(G60:G63)</f>
        <v>0</v>
      </c>
      <c r="H59" s="71">
        <f>SUM(H60:H63)</f>
        <v>0</v>
      </c>
      <c r="I59" s="66"/>
    </row>
    <row r="60" spans="1:9" s="3" customFormat="1" ht="20.25" customHeight="1" x14ac:dyDescent="0.25">
      <c r="A60" s="870"/>
      <c r="B60" s="832"/>
      <c r="C60" s="870"/>
      <c r="D60" s="83" t="s">
        <v>159</v>
      </c>
      <c r="E60" s="30">
        <v>190</v>
      </c>
      <c r="F60" s="37">
        <v>87529.600000000006</v>
      </c>
      <c r="G60" s="4"/>
      <c r="H60" s="17"/>
    </row>
    <row r="61" spans="1:9" s="2" customFormat="1" ht="14.25" customHeight="1" x14ac:dyDescent="0.25">
      <c r="A61" s="870"/>
      <c r="B61" s="832"/>
      <c r="C61" s="870"/>
      <c r="D61" s="83" t="s">
        <v>160</v>
      </c>
      <c r="E61" s="30">
        <v>500</v>
      </c>
      <c r="F61" s="37">
        <v>136909.56</v>
      </c>
      <c r="G61" s="4"/>
      <c r="H61" s="17"/>
    </row>
    <row r="62" spans="1:9" s="2" customFormat="1" ht="14.25" customHeight="1" x14ac:dyDescent="0.25">
      <c r="A62" s="870"/>
      <c r="B62" s="832"/>
      <c r="C62" s="870"/>
      <c r="D62" s="83" t="s">
        <v>161</v>
      </c>
      <c r="E62" s="30">
        <v>633</v>
      </c>
      <c r="F62" s="37">
        <v>229206.31</v>
      </c>
      <c r="G62" s="4"/>
      <c r="H62" s="17"/>
    </row>
    <row r="63" spans="1:9" s="2" customFormat="1" ht="14.25" customHeight="1" x14ac:dyDescent="0.25">
      <c r="A63" s="870"/>
      <c r="B63" s="832"/>
      <c r="C63" s="870"/>
      <c r="D63" s="83" t="s">
        <v>162</v>
      </c>
      <c r="E63" s="30">
        <v>1590</v>
      </c>
      <c r="F63" s="37">
        <v>398105.5</v>
      </c>
      <c r="G63" s="4"/>
      <c r="H63" s="17"/>
    </row>
    <row r="64" spans="1:9" s="2" customFormat="1" ht="30.75" customHeight="1" x14ac:dyDescent="0.25">
      <c r="A64" s="873"/>
      <c r="B64" s="832"/>
      <c r="C64" s="873"/>
      <c r="D64" s="246" t="s">
        <v>218</v>
      </c>
      <c r="E64" s="247">
        <v>1000</v>
      </c>
      <c r="F64" s="248">
        <v>250000</v>
      </c>
      <c r="G64" s="222"/>
      <c r="H64" s="249"/>
    </row>
    <row r="65" spans="1:8" s="8" customFormat="1" ht="5.25" customHeight="1" x14ac:dyDescent="0.25">
      <c r="A65" s="7"/>
      <c r="B65" s="7"/>
      <c r="C65" s="7"/>
      <c r="D65" s="7"/>
      <c r="E65" s="7"/>
      <c r="F65" s="93"/>
      <c r="G65" s="7"/>
      <c r="H65" s="7"/>
    </row>
    <row r="66" spans="1:8" s="9" customFormat="1" ht="15" customHeight="1" x14ac:dyDescent="0.25">
      <c r="A66" s="869" t="s">
        <v>201</v>
      </c>
      <c r="B66" s="831" t="s">
        <v>202</v>
      </c>
      <c r="C66" s="869" t="s">
        <v>65</v>
      </c>
      <c r="D66" s="70" t="s">
        <v>97</v>
      </c>
      <c r="E66" s="70">
        <f>SUM(E67:E69)</f>
        <v>157</v>
      </c>
      <c r="F66" s="84">
        <f>SUM(F67:F69)</f>
        <v>195714.27000000002</v>
      </c>
      <c r="G66" s="70">
        <f>SUM(G67:G69)</f>
        <v>0</v>
      </c>
      <c r="H66" s="71">
        <f>SUM(H67:H69)</f>
        <v>0</v>
      </c>
    </row>
    <row r="67" spans="1:8" s="2" customFormat="1" ht="14.25" customHeight="1" x14ac:dyDescent="0.25">
      <c r="A67" s="870"/>
      <c r="B67" s="832"/>
      <c r="C67" s="870"/>
      <c r="D67" s="83" t="s">
        <v>160</v>
      </c>
      <c r="E67" s="30">
        <v>43</v>
      </c>
      <c r="F67" s="37">
        <v>51233.75</v>
      </c>
      <c r="G67" s="4"/>
      <c r="H67" s="17"/>
    </row>
    <row r="68" spans="1:8" s="2" customFormat="1" ht="14.25" customHeight="1" x14ac:dyDescent="0.25">
      <c r="A68" s="870"/>
      <c r="B68" s="832"/>
      <c r="C68" s="870"/>
      <c r="D68" s="83" t="s">
        <v>161</v>
      </c>
      <c r="E68" s="30">
        <v>83</v>
      </c>
      <c r="F68" s="37">
        <v>129861.52</v>
      </c>
      <c r="G68" s="4"/>
      <c r="H68" s="17"/>
    </row>
    <row r="69" spans="1:8" s="2" customFormat="1" ht="15.75" customHeight="1" x14ac:dyDescent="0.25">
      <c r="A69" s="873"/>
      <c r="B69" s="833"/>
      <c r="C69" s="873"/>
      <c r="D69" s="83" t="s">
        <v>163</v>
      </c>
      <c r="E69" s="30">
        <v>31</v>
      </c>
      <c r="F69" s="37">
        <v>14619</v>
      </c>
      <c r="G69" s="4"/>
      <c r="H69" s="17"/>
    </row>
    <row r="70" spans="1:8" x14ac:dyDescent="0.25">
      <c r="A70" t="s">
        <v>26</v>
      </c>
      <c r="B70" t="s">
        <v>28</v>
      </c>
      <c r="D70" t="s">
        <v>31</v>
      </c>
      <c r="F70"/>
    </row>
    <row r="71" spans="1:8" x14ac:dyDescent="0.25">
      <c r="F71"/>
    </row>
    <row r="72" spans="1:8" x14ac:dyDescent="0.25">
      <c r="A72" t="s">
        <v>27</v>
      </c>
      <c r="B72" t="s">
        <v>29</v>
      </c>
      <c r="D72" t="s">
        <v>32</v>
      </c>
      <c r="F72"/>
    </row>
    <row r="73" spans="1:8" x14ac:dyDescent="0.25">
      <c r="A73" t="s">
        <v>223</v>
      </c>
      <c r="B73" t="s">
        <v>30</v>
      </c>
      <c r="D73" t="s">
        <v>33</v>
      </c>
      <c r="F73"/>
    </row>
  </sheetData>
  <mergeCells count="34">
    <mergeCell ref="C32:C37"/>
    <mergeCell ref="A44:A49"/>
    <mergeCell ref="C44:C49"/>
    <mergeCell ref="A59:A64"/>
    <mergeCell ref="C59:C64"/>
    <mergeCell ref="A66:A69"/>
    <mergeCell ref="C66:C69"/>
    <mergeCell ref="C11:C16"/>
    <mergeCell ref="A18:A23"/>
    <mergeCell ref="C18:C23"/>
    <mergeCell ref="A25:A30"/>
    <mergeCell ref="B25:B30"/>
    <mergeCell ref="C25:C30"/>
    <mergeCell ref="B66:B69"/>
    <mergeCell ref="B51:B53"/>
    <mergeCell ref="A52:A57"/>
    <mergeCell ref="B59:B64"/>
    <mergeCell ref="B44:B49"/>
    <mergeCell ref="A32:A37"/>
    <mergeCell ref="B32:B37"/>
    <mergeCell ref="B18:B23"/>
    <mergeCell ref="G7:H7"/>
    <mergeCell ref="B11:B16"/>
    <mergeCell ref="A11:A16"/>
    <mergeCell ref="A1:H1"/>
    <mergeCell ref="A2:H2"/>
    <mergeCell ref="A4:H4"/>
    <mergeCell ref="A5:H5"/>
    <mergeCell ref="A7:A8"/>
    <mergeCell ref="B7:B8"/>
    <mergeCell ref="C7:C8"/>
    <mergeCell ref="D7:D8"/>
    <mergeCell ref="E7:E8"/>
    <mergeCell ref="F7:F8"/>
  </mergeCells>
  <printOptions horizontalCentered="1"/>
  <pageMargins left="0.52" right="0.96" top="0.68" bottom="0.69" header="0.3" footer="0.4"/>
  <pageSetup paperSize="9" scale="80" orientation="landscape" verticalDpi="300" r:id="rId1"/>
  <headerFooter>
    <oddFooter>&amp;L3rd District of Pampanga&amp;CPage &amp;P of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274</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928" t="s">
        <v>252</v>
      </c>
      <c r="B8" s="1047" t="s">
        <v>251</v>
      </c>
      <c r="C8" s="224" t="s">
        <v>97</v>
      </c>
      <c r="D8" s="224">
        <f>SUM(D9:D10)</f>
        <v>7</v>
      </c>
      <c r="E8" s="84">
        <f>SUM(E9:E10)</f>
        <v>5744550</v>
      </c>
    </row>
    <row r="9" spans="1:5" s="3" customFormat="1" ht="18.75" customHeight="1" x14ac:dyDescent="0.25">
      <c r="A9" s="928"/>
      <c r="B9" s="1047"/>
      <c r="C9" s="259" t="s">
        <v>162</v>
      </c>
      <c r="D9" s="260">
        <v>4</v>
      </c>
      <c r="E9" s="261">
        <v>3370000</v>
      </c>
    </row>
    <row r="10" spans="1:5" ht="60" customHeight="1" x14ac:dyDescent="0.25">
      <c r="A10" s="928"/>
      <c r="B10" s="1047"/>
      <c r="C10" s="196" t="s">
        <v>161</v>
      </c>
      <c r="D10" s="233">
        <v>3</v>
      </c>
      <c r="E10" s="234">
        <v>2374550</v>
      </c>
    </row>
    <row r="11" spans="1:5" ht="15" customHeight="1" x14ac:dyDescent="0.3">
      <c r="A11" s="52"/>
      <c r="B11" s="258"/>
      <c r="C11" s="115"/>
      <c r="D11" s="251"/>
      <c r="E11" s="252"/>
    </row>
    <row r="12" spans="1:5" x14ac:dyDescent="0.25">
      <c r="A12" t="s">
        <v>27</v>
      </c>
      <c r="B12" t="s">
        <v>29</v>
      </c>
      <c r="D12" t="s">
        <v>32</v>
      </c>
    </row>
    <row r="13" spans="1:5" x14ac:dyDescent="0.25">
      <c r="A13" t="s">
        <v>223</v>
      </c>
      <c r="B13" t="s">
        <v>30</v>
      </c>
      <c r="D13" t="s">
        <v>33</v>
      </c>
    </row>
  </sheetData>
  <mergeCells count="10">
    <mergeCell ref="A8:A10"/>
    <mergeCell ref="B8:B10"/>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workbookViewId="0">
      <selection activeCell="A6" sqref="A6:F12"/>
    </sheetView>
  </sheetViews>
  <sheetFormatPr defaultRowHeight="15" x14ac:dyDescent="0.25"/>
  <cols>
    <col min="1" max="1" width="30.85546875" customWidth="1"/>
    <col min="2" max="2" width="42" customWidth="1"/>
    <col min="3" max="3" width="15.140625" customWidth="1"/>
    <col min="4" max="4" width="20" customWidth="1"/>
    <col min="5" max="5" width="10.85546875" customWidth="1"/>
    <col min="6" max="6" width="18.570312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238</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60"/>
      <c r="B8" s="925"/>
      <c r="C8" s="860"/>
      <c r="D8" s="922"/>
      <c r="E8" s="922"/>
      <c r="F8" s="1059"/>
      <c r="G8" s="217" t="s">
        <v>48</v>
      </c>
      <c r="H8" s="217" t="s">
        <v>60</v>
      </c>
    </row>
    <row r="9" spans="1:8" s="12" customFormat="1" ht="20.25" customHeight="1" x14ac:dyDescent="0.25">
      <c r="A9" s="10" t="s">
        <v>14</v>
      </c>
      <c r="B9" s="10"/>
      <c r="C9" s="11"/>
      <c r="D9" s="11"/>
      <c r="E9" s="14"/>
      <c r="F9" s="92">
        <f>F11+F21+F24+F49+F59+F69+F87+F98</f>
        <v>119660451.06999999</v>
      </c>
      <c r="G9" s="11"/>
      <c r="H9" s="92">
        <f>H11+H21+H24+H49+H59+H69+H87+H98</f>
        <v>296515200</v>
      </c>
    </row>
    <row r="10" spans="1:8" s="8" customFormat="1" ht="5.25" customHeight="1" x14ac:dyDescent="0.25">
      <c r="A10" s="7"/>
      <c r="B10" s="7"/>
      <c r="C10" s="7"/>
      <c r="D10" s="7"/>
      <c r="E10" s="7"/>
      <c r="F10" s="93"/>
      <c r="G10" s="7"/>
      <c r="H10" s="7"/>
    </row>
    <row r="11" spans="1:8" s="3" customFormat="1" ht="21.75" customHeight="1" x14ac:dyDescent="0.25">
      <c r="A11" s="869" t="s">
        <v>5</v>
      </c>
      <c r="B11" s="867" t="s">
        <v>50</v>
      </c>
      <c r="C11" s="871" t="s">
        <v>21</v>
      </c>
      <c r="D11" s="70" t="s">
        <v>98</v>
      </c>
      <c r="E11" s="70">
        <f>SUM(E12:E19)</f>
        <v>16200</v>
      </c>
      <c r="F11" s="84">
        <f>SUM(F12:F19)</f>
        <v>100563000</v>
      </c>
      <c r="G11" s="70">
        <f>SUM(G12:G19)</f>
        <v>17948</v>
      </c>
      <c r="H11" s="71">
        <f>SUM(H12:H19)</f>
        <v>269220000</v>
      </c>
    </row>
    <row r="12" spans="1:8" s="3" customFormat="1" ht="18" customHeight="1" x14ac:dyDescent="0.25">
      <c r="A12" s="870"/>
      <c r="B12" s="868"/>
      <c r="C12" s="872"/>
      <c r="D12" s="83" t="s">
        <v>164</v>
      </c>
      <c r="E12" s="30">
        <v>2895</v>
      </c>
      <c r="F12" s="37">
        <v>13878000</v>
      </c>
      <c r="G12" s="4">
        <v>3051</v>
      </c>
      <c r="H12" s="17">
        <v>45765000</v>
      </c>
    </row>
    <row r="13" spans="1:8" s="2" customFormat="1" ht="14.25" customHeight="1" x14ac:dyDescent="0.25">
      <c r="A13" s="870"/>
      <c r="B13" s="868"/>
      <c r="C13" s="872"/>
      <c r="D13" s="83" t="s">
        <v>165</v>
      </c>
      <c r="E13" s="30">
        <v>4458</v>
      </c>
      <c r="F13" s="37">
        <v>28905000</v>
      </c>
      <c r="G13" s="4">
        <v>4783</v>
      </c>
      <c r="H13" s="17">
        <v>71745000</v>
      </c>
    </row>
    <row r="14" spans="1:8" s="2" customFormat="1" ht="14.25" customHeight="1" x14ac:dyDescent="0.25">
      <c r="A14" s="870"/>
      <c r="B14" s="868"/>
      <c r="C14" s="872"/>
      <c r="D14" s="83" t="s">
        <v>166</v>
      </c>
      <c r="E14" s="30">
        <v>2507</v>
      </c>
      <c r="F14" s="37">
        <v>15537300</v>
      </c>
      <c r="G14" s="4">
        <v>2638</v>
      </c>
      <c r="H14" s="17">
        <v>39570000</v>
      </c>
    </row>
    <row r="15" spans="1:8" s="2" customFormat="1" ht="14.25" customHeight="1" x14ac:dyDescent="0.25">
      <c r="A15" s="870"/>
      <c r="B15" s="868"/>
      <c r="C15" s="872"/>
      <c r="D15" s="83" t="s">
        <v>167</v>
      </c>
      <c r="E15" s="30">
        <v>1432</v>
      </c>
      <c r="F15" s="37">
        <v>10710200</v>
      </c>
      <c r="G15" s="4">
        <v>2183</v>
      </c>
      <c r="H15" s="17">
        <v>32745000</v>
      </c>
    </row>
    <row r="16" spans="1:8" s="2" customFormat="1" ht="17.25" customHeight="1" x14ac:dyDescent="0.25">
      <c r="A16" s="870"/>
      <c r="B16" s="868"/>
      <c r="C16" s="872"/>
      <c r="D16" s="83" t="s">
        <v>168</v>
      </c>
      <c r="E16" s="30">
        <v>1140</v>
      </c>
      <c r="F16" s="37">
        <v>7816200</v>
      </c>
      <c r="G16" s="4">
        <v>1187</v>
      </c>
      <c r="H16" s="17">
        <v>17805000</v>
      </c>
    </row>
    <row r="17" spans="1:8" s="2" customFormat="1" ht="14.25" customHeight="1" x14ac:dyDescent="0.25">
      <c r="A17" s="870"/>
      <c r="B17" s="868"/>
      <c r="C17" s="872"/>
      <c r="D17" s="83" t="s">
        <v>169</v>
      </c>
      <c r="E17" s="30">
        <v>1800</v>
      </c>
      <c r="F17" s="37">
        <v>11684800</v>
      </c>
      <c r="G17" s="4">
        <v>2039</v>
      </c>
      <c r="H17" s="17">
        <v>30585000</v>
      </c>
    </row>
    <row r="18" spans="1:8" s="2" customFormat="1" ht="14.25" customHeight="1" x14ac:dyDescent="0.25">
      <c r="A18" s="870"/>
      <c r="B18" s="868"/>
      <c r="C18" s="872"/>
      <c r="D18" s="83" t="s">
        <v>170</v>
      </c>
      <c r="E18" s="30">
        <v>1256</v>
      </c>
      <c r="F18" s="37">
        <v>7463800</v>
      </c>
      <c r="G18" s="4">
        <v>1321</v>
      </c>
      <c r="H18" s="17">
        <v>19815000</v>
      </c>
    </row>
    <row r="19" spans="1:8" s="2" customFormat="1" ht="14.25" customHeight="1" x14ac:dyDescent="0.25">
      <c r="A19" s="873"/>
      <c r="B19" s="874"/>
      <c r="C19" s="875"/>
      <c r="D19" s="83" t="s">
        <v>171</v>
      </c>
      <c r="E19" s="30">
        <v>712</v>
      </c>
      <c r="F19" s="37">
        <v>4567700</v>
      </c>
      <c r="G19" s="4">
        <v>746</v>
      </c>
      <c r="H19" s="17">
        <v>11190000</v>
      </c>
    </row>
    <row r="20" spans="1:8" s="8" customFormat="1" ht="5.25" customHeight="1" x14ac:dyDescent="0.25">
      <c r="A20" s="7"/>
      <c r="B20" s="7"/>
      <c r="C20" s="7"/>
      <c r="D20" s="7"/>
      <c r="E20" s="7"/>
      <c r="F20" s="93"/>
      <c r="G20" s="7"/>
      <c r="H20" s="7"/>
    </row>
    <row r="21" spans="1:8" s="9" customFormat="1" ht="21.75" customHeight="1" x14ac:dyDescent="0.25">
      <c r="A21" s="870" t="s">
        <v>61</v>
      </c>
      <c r="B21" s="831" t="s">
        <v>62</v>
      </c>
      <c r="C21" s="872" t="s">
        <v>21</v>
      </c>
      <c r="D21" s="70" t="s">
        <v>98</v>
      </c>
      <c r="E21" s="70">
        <f>SUM(E22:E22)</f>
        <v>27</v>
      </c>
      <c r="F21" s="84">
        <f>SUM(F22:F22)</f>
        <v>134200</v>
      </c>
      <c r="G21" s="70">
        <f>SUM(G22:G22)</f>
        <v>0</v>
      </c>
      <c r="H21" s="71">
        <f>SUM(H22:H22)</f>
        <v>0</v>
      </c>
    </row>
    <row r="22" spans="1:8" s="3" customFormat="1" ht="76.5" customHeight="1" x14ac:dyDescent="0.25">
      <c r="A22" s="873"/>
      <c r="B22" s="832"/>
      <c r="C22" s="875"/>
      <c r="D22" s="195" t="s">
        <v>164</v>
      </c>
      <c r="E22" s="233">
        <v>27</v>
      </c>
      <c r="F22" s="234">
        <v>134200</v>
      </c>
      <c r="G22" s="196"/>
      <c r="H22" s="197"/>
    </row>
    <row r="23" spans="1:8" s="8" customFormat="1" ht="5.25" customHeight="1" x14ac:dyDescent="0.25">
      <c r="A23" s="7"/>
      <c r="B23" s="7"/>
      <c r="C23" s="7"/>
      <c r="D23" s="7"/>
      <c r="E23" s="7"/>
      <c r="F23" s="93"/>
      <c r="G23" s="7"/>
      <c r="H23" s="7"/>
    </row>
    <row r="24" spans="1:8" s="9" customFormat="1" ht="18.75" customHeight="1" x14ac:dyDescent="0.25">
      <c r="A24" s="869" t="s">
        <v>7</v>
      </c>
      <c r="B24" s="867" t="s">
        <v>52</v>
      </c>
      <c r="C24" s="871" t="s">
        <v>53</v>
      </c>
      <c r="D24" s="70" t="s">
        <v>98</v>
      </c>
      <c r="E24" s="70">
        <f>SUM(E25:E32)</f>
        <v>119</v>
      </c>
      <c r="F24" s="84">
        <f>SUM(F25:F32)</f>
        <v>910000</v>
      </c>
      <c r="G24" s="70">
        <f>SUM(G25:G32)</f>
        <v>345</v>
      </c>
      <c r="H24" s="71">
        <f>SUM(H25:H32)</f>
        <v>2100000</v>
      </c>
    </row>
    <row r="25" spans="1:8" s="3" customFormat="1" ht="20.25" customHeight="1" x14ac:dyDescent="0.25">
      <c r="A25" s="870"/>
      <c r="B25" s="868"/>
      <c r="C25" s="872"/>
      <c r="D25" s="83" t="s">
        <v>164</v>
      </c>
      <c r="E25" s="30">
        <f>1</f>
        <v>1</v>
      </c>
      <c r="F25" s="37">
        <f>10000</f>
        <v>10000</v>
      </c>
      <c r="G25" s="4">
        <v>60</v>
      </c>
      <c r="H25" s="17">
        <v>300000</v>
      </c>
    </row>
    <row r="26" spans="1:8" s="2" customFormat="1" ht="14.25" customHeight="1" x14ac:dyDescent="0.25">
      <c r="A26" s="870"/>
      <c r="B26" s="868"/>
      <c r="C26" s="872"/>
      <c r="D26" s="83" t="s">
        <v>165</v>
      </c>
      <c r="E26" s="30">
        <f>62+25</f>
        <v>87</v>
      </c>
      <c r="F26" s="37">
        <f>540000+125000</f>
        <v>665000</v>
      </c>
      <c r="G26" s="4">
        <v>60</v>
      </c>
      <c r="H26" s="17">
        <v>300000</v>
      </c>
    </row>
    <row r="27" spans="1:8" s="2" customFormat="1" ht="14.25" customHeight="1" x14ac:dyDescent="0.25">
      <c r="A27" s="870"/>
      <c r="B27" s="868"/>
      <c r="C27" s="872"/>
      <c r="D27" s="83" t="s">
        <v>166</v>
      </c>
      <c r="E27" s="30">
        <f>15</f>
        <v>15</v>
      </c>
      <c r="F27" s="37">
        <f>75000</f>
        <v>75000</v>
      </c>
      <c r="G27" s="4">
        <v>60</v>
      </c>
      <c r="H27" s="17">
        <v>300000</v>
      </c>
    </row>
    <row r="28" spans="1:8" s="2" customFormat="1" ht="14.25" customHeight="1" x14ac:dyDescent="0.25">
      <c r="A28" s="870"/>
      <c r="B28" s="868"/>
      <c r="C28" s="872"/>
      <c r="D28" s="83" t="s">
        <v>167</v>
      </c>
      <c r="E28" s="30"/>
      <c r="F28" s="37"/>
      <c r="G28" s="4">
        <v>60</v>
      </c>
      <c r="H28" s="17">
        <v>300000</v>
      </c>
    </row>
    <row r="29" spans="1:8" s="2" customFormat="1" ht="17.25" customHeight="1" x14ac:dyDescent="0.25">
      <c r="A29" s="870"/>
      <c r="B29" s="868"/>
      <c r="C29" s="872"/>
      <c r="D29" s="83" t="s">
        <v>168</v>
      </c>
      <c r="E29" s="30">
        <f>15</f>
        <v>15</v>
      </c>
      <c r="F29" s="37">
        <f>150000</f>
        <v>150000</v>
      </c>
      <c r="G29" s="4">
        <v>30</v>
      </c>
      <c r="H29" s="17">
        <v>300000</v>
      </c>
    </row>
    <row r="30" spans="1:8" s="2" customFormat="1" ht="14.25" customHeight="1" x14ac:dyDescent="0.25">
      <c r="A30" s="870"/>
      <c r="B30" s="868"/>
      <c r="C30" s="872"/>
      <c r="D30" s="83" t="s">
        <v>169</v>
      </c>
      <c r="E30" s="30"/>
      <c r="F30" s="37"/>
      <c r="G30" s="4">
        <v>30</v>
      </c>
      <c r="H30" s="17">
        <v>150000</v>
      </c>
    </row>
    <row r="31" spans="1:8" s="2" customFormat="1" ht="14.25" customHeight="1" x14ac:dyDescent="0.25">
      <c r="A31" s="870"/>
      <c r="B31" s="868"/>
      <c r="C31" s="872"/>
      <c r="D31" s="86" t="s">
        <v>170</v>
      </c>
      <c r="E31" s="225">
        <f>1</f>
        <v>1</v>
      </c>
      <c r="F31" s="226">
        <f>10000</f>
        <v>10000</v>
      </c>
      <c r="G31" s="220">
        <v>15</v>
      </c>
      <c r="H31" s="145">
        <v>150000</v>
      </c>
    </row>
    <row r="32" spans="1:8" s="2" customFormat="1" ht="14.25" customHeight="1" x14ac:dyDescent="0.25">
      <c r="A32" s="873"/>
      <c r="B32" s="874"/>
      <c r="C32" s="1073"/>
      <c r="D32" s="83" t="s">
        <v>171</v>
      </c>
      <c r="E32" s="30"/>
      <c r="F32" s="37"/>
      <c r="G32" s="4">
        <v>30</v>
      </c>
      <c r="H32" s="17">
        <v>300000</v>
      </c>
    </row>
    <row r="33" spans="6:6" s="123" customFormat="1" ht="5.25" customHeight="1" x14ac:dyDescent="0.25">
      <c r="F33" s="174"/>
    </row>
    <row r="34" spans="6:6" s="123" customFormat="1" ht="5.25" customHeight="1" x14ac:dyDescent="0.25">
      <c r="F34" s="174"/>
    </row>
    <row r="35" spans="6:6" s="123" customFormat="1" ht="5.25" customHeight="1" x14ac:dyDescent="0.25">
      <c r="F35" s="174"/>
    </row>
    <row r="36" spans="6:6" s="123" customFormat="1" ht="5.25" customHeight="1" x14ac:dyDescent="0.25">
      <c r="F36" s="174"/>
    </row>
    <row r="37" spans="6:6" s="123" customFormat="1" ht="5.25" customHeight="1" x14ac:dyDescent="0.25">
      <c r="F37" s="174"/>
    </row>
    <row r="38" spans="6:6" s="123" customFormat="1" ht="5.25" customHeight="1" x14ac:dyDescent="0.25">
      <c r="F38" s="174"/>
    </row>
    <row r="39" spans="6:6" s="123" customFormat="1" ht="5.25" customHeight="1" x14ac:dyDescent="0.25">
      <c r="F39" s="174"/>
    </row>
    <row r="40" spans="6:6" s="123" customFormat="1" ht="5.25" customHeight="1" x14ac:dyDescent="0.25">
      <c r="F40" s="174"/>
    </row>
    <row r="41" spans="6:6" s="123" customFormat="1" ht="5.25" customHeight="1" x14ac:dyDescent="0.25">
      <c r="F41" s="174"/>
    </row>
    <row r="42" spans="6:6" s="123" customFormat="1" ht="5.25" customHeight="1" x14ac:dyDescent="0.25">
      <c r="F42" s="174"/>
    </row>
    <row r="43" spans="6:6" s="123" customFormat="1" ht="5.25" customHeight="1" x14ac:dyDescent="0.25">
      <c r="F43" s="174"/>
    </row>
    <row r="44" spans="6:6" s="123" customFormat="1" ht="5.25" customHeight="1" x14ac:dyDescent="0.25">
      <c r="F44" s="174"/>
    </row>
    <row r="45" spans="6:6" s="123" customFormat="1" ht="5.25" customHeight="1" x14ac:dyDescent="0.25">
      <c r="F45" s="174"/>
    </row>
    <row r="46" spans="6:6" s="123" customFormat="1" ht="5.25" customHeight="1" x14ac:dyDescent="0.25">
      <c r="F46" s="174"/>
    </row>
    <row r="47" spans="6:6" s="123" customFormat="1" ht="5.25" customHeight="1" x14ac:dyDescent="0.25">
      <c r="F47" s="174"/>
    </row>
    <row r="48" spans="6:6" s="123" customFormat="1" ht="5.25" customHeight="1" x14ac:dyDescent="0.25">
      <c r="F48" s="174"/>
    </row>
    <row r="49" spans="1:8" s="9" customFormat="1" ht="19.5" customHeight="1" x14ac:dyDescent="0.25">
      <c r="A49" s="869" t="s">
        <v>6</v>
      </c>
      <c r="B49" s="867" t="s">
        <v>54</v>
      </c>
      <c r="C49" s="869" t="s">
        <v>20</v>
      </c>
      <c r="D49" s="70" t="s">
        <v>98</v>
      </c>
      <c r="E49" s="70">
        <f>SUM(E50:E57)</f>
        <v>6705</v>
      </c>
      <c r="F49" s="84">
        <f>SUM(F50:F57)</f>
        <v>8433700</v>
      </c>
      <c r="G49" s="70">
        <f>SUM(G50:G57)</f>
        <v>8220</v>
      </c>
      <c r="H49" s="71">
        <f>SUM(H50:H57)</f>
        <v>12823200</v>
      </c>
    </row>
    <row r="50" spans="1:8" s="3" customFormat="1" ht="17.25" customHeight="1" x14ac:dyDescent="0.25">
      <c r="A50" s="870"/>
      <c r="B50" s="868"/>
      <c r="C50" s="870"/>
      <c r="D50" s="83" t="s">
        <v>164</v>
      </c>
      <c r="E50" s="30">
        <v>1340</v>
      </c>
      <c r="F50" s="37"/>
      <c r="G50" s="4">
        <v>1281</v>
      </c>
      <c r="H50" s="17">
        <v>1998360</v>
      </c>
    </row>
    <row r="51" spans="1:8" s="2" customFormat="1" ht="14.25" customHeight="1" x14ac:dyDescent="0.25">
      <c r="A51" s="870"/>
      <c r="B51" s="868"/>
      <c r="C51" s="870"/>
      <c r="D51" s="83" t="s">
        <v>165</v>
      </c>
      <c r="E51" s="30">
        <v>1160</v>
      </c>
      <c r="F51" s="37">
        <v>1823500</v>
      </c>
      <c r="G51" s="4">
        <v>1892</v>
      </c>
      <c r="H51" s="17">
        <v>2951520</v>
      </c>
    </row>
    <row r="52" spans="1:8" s="2" customFormat="1" ht="14.25" customHeight="1" x14ac:dyDescent="0.25">
      <c r="A52" s="870"/>
      <c r="B52" s="868"/>
      <c r="C52" s="870"/>
      <c r="D52" s="83" t="s">
        <v>166</v>
      </c>
      <c r="E52" s="30">
        <f>595+345</f>
        <v>940</v>
      </c>
      <c r="F52" s="37">
        <f>935350+542350</f>
        <v>1477700</v>
      </c>
      <c r="G52" s="4">
        <v>1128</v>
      </c>
      <c r="H52" s="17">
        <v>1759680</v>
      </c>
    </row>
    <row r="53" spans="1:8" s="2" customFormat="1" ht="14.25" customHeight="1" x14ac:dyDescent="0.25">
      <c r="A53" s="870"/>
      <c r="B53" s="868"/>
      <c r="C53" s="870"/>
      <c r="D53" s="83" t="s">
        <v>167</v>
      </c>
      <c r="E53" s="30">
        <v>493</v>
      </c>
      <c r="F53" s="37">
        <v>774980</v>
      </c>
      <c r="G53" s="4">
        <v>592</v>
      </c>
      <c r="H53" s="17">
        <v>923520</v>
      </c>
    </row>
    <row r="54" spans="1:8" s="2" customFormat="1" ht="18" customHeight="1" x14ac:dyDescent="0.25">
      <c r="A54" s="870"/>
      <c r="B54" s="868"/>
      <c r="C54" s="870"/>
      <c r="D54" s="83" t="s">
        <v>168</v>
      </c>
      <c r="E54" s="30">
        <v>609</v>
      </c>
      <c r="F54" s="37">
        <v>957340</v>
      </c>
      <c r="G54" s="4">
        <v>731</v>
      </c>
      <c r="H54" s="17">
        <v>1140360</v>
      </c>
    </row>
    <row r="55" spans="1:8" s="2" customFormat="1" ht="14.25" customHeight="1" x14ac:dyDescent="0.25">
      <c r="A55" s="870"/>
      <c r="B55" s="868"/>
      <c r="C55" s="870"/>
      <c r="D55" s="83" t="s">
        <v>169</v>
      </c>
      <c r="E55" s="30">
        <v>909</v>
      </c>
      <c r="F55" s="37">
        <v>1428940</v>
      </c>
      <c r="G55" s="4">
        <v>1091</v>
      </c>
      <c r="H55" s="17">
        <v>1701960</v>
      </c>
    </row>
    <row r="56" spans="1:8" s="2" customFormat="1" ht="14.25" customHeight="1" x14ac:dyDescent="0.25">
      <c r="A56" s="870"/>
      <c r="B56" s="868"/>
      <c r="C56" s="870"/>
      <c r="D56" s="83" t="s">
        <v>170</v>
      </c>
      <c r="E56" s="30">
        <v>584</v>
      </c>
      <c r="F56" s="37">
        <v>918040</v>
      </c>
      <c r="G56" s="4">
        <v>701</v>
      </c>
      <c r="H56" s="17">
        <v>1093560</v>
      </c>
    </row>
    <row r="57" spans="1:8" s="2" customFormat="1" ht="14.25" customHeight="1" x14ac:dyDescent="0.25">
      <c r="A57" s="873"/>
      <c r="B57" s="874"/>
      <c r="C57" s="873"/>
      <c r="D57" s="83" t="s">
        <v>171</v>
      </c>
      <c r="E57" s="30">
        <v>670</v>
      </c>
      <c r="F57" s="37">
        <v>1053200</v>
      </c>
      <c r="G57" s="4">
        <v>804</v>
      </c>
      <c r="H57" s="17">
        <v>1254240</v>
      </c>
    </row>
    <row r="58" spans="1:8" s="8" customFormat="1" ht="5.25" customHeight="1" x14ac:dyDescent="0.25">
      <c r="A58" s="7"/>
      <c r="B58" s="7"/>
      <c r="C58" s="7"/>
      <c r="D58" s="7"/>
      <c r="E58" s="7"/>
      <c r="F58" s="93"/>
      <c r="G58" s="7"/>
      <c r="H58" s="7"/>
    </row>
    <row r="59" spans="1:8" s="9" customFormat="1" ht="18.75" customHeight="1" x14ac:dyDescent="0.25">
      <c r="A59" s="869" t="s">
        <v>16</v>
      </c>
      <c r="B59" s="869" t="s">
        <v>55</v>
      </c>
      <c r="C59" s="869" t="s">
        <v>19</v>
      </c>
      <c r="D59" s="70" t="s">
        <v>98</v>
      </c>
      <c r="E59" s="70">
        <f>SUM(E60:E67)</f>
        <v>847</v>
      </c>
      <c r="F59" s="84">
        <f>SUM(F60:F67)</f>
        <v>3598500</v>
      </c>
      <c r="G59" s="70">
        <f>SUM(G60:G67)</f>
        <v>2062</v>
      </c>
      <c r="H59" s="71">
        <f>SUM(H60:H67)</f>
        <v>12372000</v>
      </c>
    </row>
    <row r="60" spans="1:8" s="3" customFormat="1" ht="18.75" customHeight="1" x14ac:dyDescent="0.25">
      <c r="A60" s="870"/>
      <c r="B60" s="870"/>
      <c r="C60" s="870"/>
      <c r="D60" s="83" t="s">
        <v>164</v>
      </c>
      <c r="E60" s="30">
        <v>144</v>
      </c>
      <c r="F60" s="37">
        <v>633000</v>
      </c>
      <c r="G60" s="4">
        <v>289</v>
      </c>
      <c r="H60" s="17">
        <v>1734000</v>
      </c>
    </row>
    <row r="61" spans="1:8" s="2" customFormat="1" ht="14.25" customHeight="1" x14ac:dyDescent="0.25">
      <c r="A61" s="870"/>
      <c r="B61" s="870"/>
      <c r="C61" s="870"/>
      <c r="D61" s="83" t="s">
        <v>165</v>
      </c>
      <c r="E61" s="30">
        <v>192</v>
      </c>
      <c r="F61" s="37">
        <v>745500</v>
      </c>
      <c r="G61" s="4">
        <v>292</v>
      </c>
      <c r="H61" s="17">
        <v>1752000</v>
      </c>
    </row>
    <row r="62" spans="1:8" s="2" customFormat="1" ht="14.25" customHeight="1" x14ac:dyDescent="0.25">
      <c r="A62" s="870"/>
      <c r="B62" s="870"/>
      <c r="C62" s="870"/>
      <c r="D62" s="83" t="s">
        <v>166</v>
      </c>
      <c r="E62" s="30">
        <v>98</v>
      </c>
      <c r="F62" s="37">
        <v>439000</v>
      </c>
      <c r="G62" s="4">
        <v>248</v>
      </c>
      <c r="H62" s="17">
        <v>1488000</v>
      </c>
    </row>
    <row r="63" spans="1:8" s="2" customFormat="1" ht="14.25" customHeight="1" x14ac:dyDescent="0.25">
      <c r="A63" s="870"/>
      <c r="B63" s="870"/>
      <c r="C63" s="870"/>
      <c r="D63" s="83" t="s">
        <v>167</v>
      </c>
      <c r="E63" s="30">
        <v>69</v>
      </c>
      <c r="F63" s="37">
        <v>293500</v>
      </c>
      <c r="G63" s="4">
        <v>239</v>
      </c>
      <c r="H63" s="17">
        <v>1434000</v>
      </c>
    </row>
    <row r="64" spans="1:8" s="2" customFormat="1" ht="19.5" customHeight="1" x14ac:dyDescent="0.25">
      <c r="A64" s="870"/>
      <c r="B64" s="870"/>
      <c r="C64" s="870"/>
      <c r="D64" s="83" t="s">
        <v>168</v>
      </c>
      <c r="E64" s="30">
        <v>70</v>
      </c>
      <c r="F64" s="37">
        <v>309500</v>
      </c>
      <c r="G64" s="4">
        <v>230</v>
      </c>
      <c r="H64" s="17">
        <v>1380000</v>
      </c>
    </row>
    <row r="65" spans="1:8" s="2" customFormat="1" ht="14.25" customHeight="1" x14ac:dyDescent="0.25">
      <c r="A65" s="870"/>
      <c r="B65" s="870"/>
      <c r="C65" s="870"/>
      <c r="D65" s="83" t="s">
        <v>169</v>
      </c>
      <c r="E65" s="30">
        <v>120</v>
      </c>
      <c r="F65" s="37">
        <v>529500</v>
      </c>
      <c r="G65" s="4">
        <v>280</v>
      </c>
      <c r="H65" s="17">
        <v>1680000</v>
      </c>
    </row>
    <row r="66" spans="1:8" s="2" customFormat="1" ht="14.25" customHeight="1" x14ac:dyDescent="0.25">
      <c r="A66" s="870"/>
      <c r="B66" s="870"/>
      <c r="C66" s="870"/>
      <c r="D66" s="83" t="s">
        <v>170</v>
      </c>
      <c r="E66" s="30">
        <v>94</v>
      </c>
      <c r="F66" s="37">
        <v>380000</v>
      </c>
      <c r="G66" s="4">
        <v>254</v>
      </c>
      <c r="H66" s="17">
        <v>1524000</v>
      </c>
    </row>
    <row r="67" spans="1:8" s="2" customFormat="1" ht="14.25" customHeight="1" x14ac:dyDescent="0.25">
      <c r="A67" s="873"/>
      <c r="B67" s="873"/>
      <c r="C67" s="873"/>
      <c r="D67" s="83" t="s">
        <v>171</v>
      </c>
      <c r="E67" s="30">
        <v>60</v>
      </c>
      <c r="F67" s="37">
        <v>268500</v>
      </c>
      <c r="G67" s="4">
        <v>230</v>
      </c>
      <c r="H67" s="17">
        <v>1380000</v>
      </c>
    </row>
    <row r="68" spans="1:8" s="8" customFormat="1" ht="5.25" customHeight="1" x14ac:dyDescent="0.25">
      <c r="A68" s="122"/>
      <c r="B68" s="122"/>
      <c r="C68" s="122"/>
      <c r="D68" s="122"/>
      <c r="E68" s="122"/>
      <c r="F68" s="173"/>
      <c r="G68" s="122"/>
      <c r="H68" s="122"/>
    </row>
    <row r="69" spans="1:8" s="9" customFormat="1" ht="16.5" customHeight="1" x14ac:dyDescent="0.25">
      <c r="A69" s="869" t="s">
        <v>17</v>
      </c>
      <c r="B69" s="876" t="s">
        <v>56</v>
      </c>
      <c r="C69" s="869" t="s">
        <v>18</v>
      </c>
      <c r="D69" s="70" t="s">
        <v>98</v>
      </c>
      <c r="E69" s="70">
        <f>SUM(E70:E77)</f>
        <v>69</v>
      </c>
      <c r="F69" s="84">
        <f>SUM(F70:F77)</f>
        <v>95056</v>
      </c>
      <c r="G69" s="70">
        <f>SUM(G70:G77)</f>
        <v>0</v>
      </c>
      <c r="H69" s="71">
        <f>SUM(H70:H77)</f>
        <v>0</v>
      </c>
    </row>
    <row r="70" spans="1:8" s="3" customFormat="1" ht="21" customHeight="1" x14ac:dyDescent="0.25">
      <c r="A70" s="870"/>
      <c r="B70" s="877"/>
      <c r="C70" s="870"/>
      <c r="D70" s="83" t="s">
        <v>164</v>
      </c>
      <c r="E70" s="30">
        <f>2+1+3+1+1+2</f>
        <v>10</v>
      </c>
      <c r="F70" s="37">
        <f>3000+250+4500+500+2000+1750</f>
        <v>12000</v>
      </c>
      <c r="G70" s="4"/>
      <c r="H70" s="17"/>
    </row>
    <row r="71" spans="1:8" s="2" customFormat="1" ht="14.25" customHeight="1" x14ac:dyDescent="0.25">
      <c r="A71" s="870"/>
      <c r="B71" s="877"/>
      <c r="C71" s="870"/>
      <c r="D71" s="83" t="s">
        <v>165</v>
      </c>
      <c r="E71" s="30">
        <f>3+3+2</f>
        <v>8</v>
      </c>
      <c r="F71" s="37">
        <f>5000+4500+3000</f>
        <v>12500</v>
      </c>
      <c r="G71" s="4"/>
      <c r="H71" s="17"/>
    </row>
    <row r="72" spans="1:8" s="2" customFormat="1" ht="14.25" customHeight="1" x14ac:dyDescent="0.25">
      <c r="A72" s="870"/>
      <c r="B72" s="877"/>
      <c r="C72" s="870"/>
      <c r="D72" s="83" t="s">
        <v>166</v>
      </c>
      <c r="E72" s="30">
        <f>3+1+3+2</f>
        <v>9</v>
      </c>
      <c r="F72" s="37">
        <f>5606+500+4500+4000</f>
        <v>14606</v>
      </c>
      <c r="G72" s="4"/>
      <c r="H72" s="17"/>
    </row>
    <row r="73" spans="1:8" s="2" customFormat="1" ht="14.25" customHeight="1" x14ac:dyDescent="0.25">
      <c r="A73" s="870"/>
      <c r="B73" s="877"/>
      <c r="C73" s="870"/>
      <c r="D73" s="83" t="s">
        <v>167</v>
      </c>
      <c r="E73" s="30">
        <f>1+2+1+2+2</f>
        <v>8</v>
      </c>
      <c r="F73" s="37">
        <f>2500+2500+1000+1700+1600</f>
        <v>9300</v>
      </c>
      <c r="G73" s="4"/>
      <c r="H73" s="17"/>
    </row>
    <row r="74" spans="1:8" s="2" customFormat="1" ht="15.75" customHeight="1" x14ac:dyDescent="0.25">
      <c r="A74" s="870"/>
      <c r="B74" s="877"/>
      <c r="C74" s="870"/>
      <c r="D74" s="83" t="s">
        <v>168</v>
      </c>
      <c r="E74" s="30">
        <f>1+1+4+2</f>
        <v>8</v>
      </c>
      <c r="F74" s="37">
        <f>1500+1500+7500+2500</f>
        <v>13000</v>
      </c>
      <c r="G74" s="4"/>
      <c r="H74" s="17"/>
    </row>
    <row r="75" spans="1:8" s="2" customFormat="1" ht="14.25" customHeight="1" x14ac:dyDescent="0.25">
      <c r="A75" s="870"/>
      <c r="B75" s="877"/>
      <c r="C75" s="870"/>
      <c r="D75" s="83" t="s">
        <v>169</v>
      </c>
      <c r="E75" s="30">
        <f>2+1+1</f>
        <v>4</v>
      </c>
      <c r="F75" s="37">
        <f>4000+2000+2000</f>
        <v>8000</v>
      </c>
      <c r="G75" s="4"/>
      <c r="H75" s="17"/>
    </row>
    <row r="76" spans="1:8" s="2" customFormat="1" ht="14.25" customHeight="1" x14ac:dyDescent="0.25">
      <c r="A76" s="870"/>
      <c r="B76" s="877"/>
      <c r="C76" s="870"/>
      <c r="D76" s="83" t="s">
        <v>170</v>
      </c>
      <c r="E76" s="30">
        <f>1+2+4+2+1</f>
        <v>10</v>
      </c>
      <c r="F76" s="37">
        <f>250+2500+5500+3000+100</f>
        <v>11350</v>
      </c>
      <c r="G76" s="4"/>
      <c r="H76" s="17"/>
    </row>
    <row r="77" spans="1:8" s="2" customFormat="1" ht="14.25" customHeight="1" x14ac:dyDescent="0.25">
      <c r="A77" s="873"/>
      <c r="B77" s="878"/>
      <c r="C77" s="873"/>
      <c r="D77" s="83" t="s">
        <v>171</v>
      </c>
      <c r="E77" s="30">
        <f>2+3+4+1+2</f>
        <v>12</v>
      </c>
      <c r="F77" s="37">
        <f>2000+4500+4500+1500+1800</f>
        <v>14300</v>
      </c>
      <c r="G77" s="4"/>
      <c r="H77" s="17"/>
    </row>
    <row r="78" spans="1:8" s="8" customFormat="1" ht="5.25" customHeight="1" x14ac:dyDescent="0.25">
      <c r="A78" s="7"/>
      <c r="B78" s="7"/>
      <c r="C78" s="7"/>
      <c r="D78" s="7"/>
      <c r="E78" s="7"/>
      <c r="F78" s="93"/>
      <c r="G78" s="7"/>
      <c r="H78" s="7"/>
    </row>
    <row r="79" spans="1:8" s="9" customFormat="1" ht="34.5" hidden="1" customHeight="1" x14ac:dyDescent="0.25">
      <c r="A79" s="6" t="s">
        <v>22</v>
      </c>
      <c r="B79" s="831" t="s">
        <v>57</v>
      </c>
      <c r="C79" s="6" t="s">
        <v>37</v>
      </c>
      <c r="D79" s="6"/>
      <c r="E79" s="42">
        <f>SUM(E80:E85)</f>
        <v>227</v>
      </c>
      <c r="F79" s="94">
        <f>SUM(F80:F85)</f>
        <v>562960</v>
      </c>
      <c r="G79" s="6"/>
      <c r="H79" s="6"/>
    </row>
    <row r="80" spans="1:8" s="1" customFormat="1" ht="15" hidden="1" customHeight="1" x14ac:dyDescent="0.25">
      <c r="A80" s="972" t="s">
        <v>35</v>
      </c>
      <c r="B80" s="832"/>
      <c r="C80" s="5"/>
      <c r="D80" s="4" t="s">
        <v>42</v>
      </c>
      <c r="E80" s="44"/>
      <c r="F80" s="41"/>
      <c r="G80" s="5"/>
      <c r="H80" s="4" t="s">
        <v>8</v>
      </c>
    </row>
    <row r="81" spans="1:9" s="1" customFormat="1" ht="15" hidden="1" customHeight="1" x14ac:dyDescent="0.25">
      <c r="A81" s="918"/>
      <c r="B81" s="833"/>
      <c r="C81" s="5"/>
      <c r="D81" s="4" t="s">
        <v>43</v>
      </c>
      <c r="E81" s="44"/>
      <c r="F81" s="38"/>
      <c r="G81" s="5"/>
      <c r="H81" s="4" t="s">
        <v>9</v>
      </c>
    </row>
    <row r="82" spans="1:9" s="1" customFormat="1" ht="15" hidden="1" customHeight="1" x14ac:dyDescent="0.25">
      <c r="A82" s="918"/>
      <c r="B82" s="211"/>
      <c r="C82" s="5"/>
      <c r="D82" s="4" t="s">
        <v>44</v>
      </c>
      <c r="E82" s="45">
        <v>227</v>
      </c>
      <c r="F82" s="39">
        <v>562960</v>
      </c>
      <c r="G82" s="5"/>
      <c r="H82" s="4" t="s">
        <v>10</v>
      </c>
    </row>
    <row r="83" spans="1:9" s="1" customFormat="1" ht="15" hidden="1" customHeight="1" x14ac:dyDescent="0.25">
      <c r="A83" s="918"/>
      <c r="B83" s="211"/>
      <c r="C83" s="5"/>
      <c r="D83" s="4" t="s">
        <v>45</v>
      </c>
      <c r="E83" s="44"/>
      <c r="F83" s="39"/>
      <c r="G83" s="5"/>
      <c r="H83" s="4" t="s">
        <v>11</v>
      </c>
    </row>
    <row r="84" spans="1:9" s="1" customFormat="1" ht="15" hidden="1" customHeight="1" x14ac:dyDescent="0.25">
      <c r="A84" s="918"/>
      <c r="B84" s="211"/>
      <c r="C84" s="5"/>
      <c r="D84" s="4" t="s">
        <v>46</v>
      </c>
      <c r="E84" s="44"/>
      <c r="F84" s="39"/>
      <c r="G84" s="5"/>
      <c r="H84" s="4" t="s">
        <v>12</v>
      </c>
    </row>
    <row r="85" spans="1:9" s="1" customFormat="1" ht="15" hidden="1" customHeight="1" x14ac:dyDescent="0.25">
      <c r="A85" s="918"/>
      <c r="B85" s="211"/>
      <c r="C85" s="5"/>
      <c r="D85" s="4" t="s">
        <v>47</v>
      </c>
      <c r="E85" s="44"/>
      <c r="F85" s="40"/>
      <c r="G85" s="5"/>
      <c r="H85" s="4" t="s">
        <v>13</v>
      </c>
    </row>
    <row r="86" spans="1:9" s="8" customFormat="1" ht="8.25" hidden="1" customHeight="1" x14ac:dyDescent="0.25">
      <c r="A86" s="7"/>
      <c r="B86" s="7"/>
      <c r="C86" s="7"/>
      <c r="D86" s="7"/>
      <c r="E86" s="7"/>
      <c r="F86" s="93"/>
      <c r="G86" s="7"/>
      <c r="H86" s="7"/>
    </row>
    <row r="87" spans="1:9" s="9" customFormat="1" ht="20.25" customHeight="1" x14ac:dyDescent="0.25">
      <c r="A87" s="869" t="s">
        <v>23</v>
      </c>
      <c r="B87" s="867" t="s">
        <v>58</v>
      </c>
      <c r="C87" s="869" t="s">
        <v>24</v>
      </c>
      <c r="D87" s="70" t="s">
        <v>98</v>
      </c>
      <c r="E87" s="70">
        <f>SUM(E88:E96)</f>
        <v>19135</v>
      </c>
      <c r="F87" s="84">
        <f>SUM(F88:F96)</f>
        <v>5660041.9100000001</v>
      </c>
      <c r="G87" s="70">
        <f>SUM(G88:G95)</f>
        <v>0</v>
      </c>
      <c r="H87" s="71">
        <f>SUM(H88:H95)</f>
        <v>0</v>
      </c>
      <c r="I87" s="66"/>
    </row>
    <row r="88" spans="1:9" s="3" customFormat="1" ht="20.25" customHeight="1" x14ac:dyDescent="0.25">
      <c r="A88" s="870"/>
      <c r="B88" s="868"/>
      <c r="C88" s="870"/>
      <c r="D88" s="83" t="s">
        <v>164</v>
      </c>
      <c r="E88" s="30">
        <v>1185</v>
      </c>
      <c r="F88" s="37">
        <v>348120.45</v>
      </c>
      <c r="G88" s="4"/>
      <c r="H88" s="17"/>
    </row>
    <row r="89" spans="1:9" s="2" customFormat="1" ht="14.25" customHeight="1" x14ac:dyDescent="0.25">
      <c r="A89" s="870"/>
      <c r="B89" s="868"/>
      <c r="C89" s="870"/>
      <c r="D89" s="83" t="s">
        <v>165</v>
      </c>
      <c r="E89" s="30">
        <v>3000</v>
      </c>
      <c r="F89" s="37">
        <v>784283</v>
      </c>
      <c r="G89" s="4"/>
      <c r="H89" s="17"/>
    </row>
    <row r="90" spans="1:9" s="2" customFormat="1" ht="14.25" customHeight="1" x14ac:dyDescent="0.25">
      <c r="A90" s="870"/>
      <c r="B90" s="868"/>
      <c r="C90" s="870"/>
      <c r="D90" s="83" t="s">
        <v>166</v>
      </c>
      <c r="E90" s="30">
        <v>2000</v>
      </c>
      <c r="F90" s="37">
        <v>682923.92</v>
      </c>
      <c r="G90" s="4"/>
      <c r="H90" s="17"/>
    </row>
    <row r="91" spans="1:9" s="2" customFormat="1" ht="14.25" customHeight="1" x14ac:dyDescent="0.25">
      <c r="A91" s="870"/>
      <c r="B91" s="868"/>
      <c r="C91" s="870"/>
      <c r="D91" s="83" t="s">
        <v>167</v>
      </c>
      <c r="E91" s="30">
        <v>2500</v>
      </c>
      <c r="F91" s="37">
        <v>766250.82</v>
      </c>
      <c r="G91" s="4"/>
      <c r="H91" s="17"/>
    </row>
    <row r="92" spans="1:9" s="2" customFormat="1" ht="14.25" customHeight="1" x14ac:dyDescent="0.25">
      <c r="A92" s="870"/>
      <c r="B92" s="868"/>
      <c r="C92" s="870"/>
      <c r="D92" s="83" t="s">
        <v>168</v>
      </c>
      <c r="E92" s="30">
        <v>2000</v>
      </c>
      <c r="F92" s="37">
        <v>753852.48</v>
      </c>
      <c r="G92" s="4"/>
      <c r="H92" s="17"/>
    </row>
    <row r="93" spans="1:9" s="2" customFormat="1" ht="15.75" customHeight="1" x14ac:dyDescent="0.25">
      <c r="A93" s="870"/>
      <c r="B93" s="868"/>
      <c r="C93" s="870"/>
      <c r="D93" s="83" t="s">
        <v>169</v>
      </c>
      <c r="E93" s="30"/>
      <c r="F93" s="37"/>
      <c r="G93" s="4"/>
      <c r="H93" s="17"/>
    </row>
    <row r="94" spans="1:9" s="2" customFormat="1" ht="14.25" customHeight="1" x14ac:dyDescent="0.25">
      <c r="A94" s="870"/>
      <c r="B94" s="868"/>
      <c r="C94" s="870"/>
      <c r="D94" s="83" t="s">
        <v>170</v>
      </c>
      <c r="E94" s="30">
        <v>2000</v>
      </c>
      <c r="F94" s="37">
        <v>549094</v>
      </c>
      <c r="G94" s="4"/>
      <c r="H94" s="17"/>
    </row>
    <row r="95" spans="1:9" s="2" customFormat="1" ht="14.25" customHeight="1" x14ac:dyDescent="0.25">
      <c r="A95" s="870"/>
      <c r="B95" s="868"/>
      <c r="C95" s="870"/>
      <c r="D95" s="83" t="s">
        <v>171</v>
      </c>
      <c r="E95" s="30">
        <v>4450</v>
      </c>
      <c r="F95" s="37">
        <v>1281267.24</v>
      </c>
      <c r="G95" s="4"/>
      <c r="H95" s="17"/>
    </row>
    <row r="96" spans="1:9" s="2" customFormat="1" ht="14.25" customHeight="1" x14ac:dyDescent="0.25">
      <c r="A96" s="873"/>
      <c r="B96" s="874"/>
      <c r="C96" s="873"/>
      <c r="D96" s="108" t="s">
        <v>219</v>
      </c>
      <c r="E96" s="30">
        <v>2000</v>
      </c>
      <c r="F96" s="37">
        <v>494250</v>
      </c>
      <c r="G96" s="4"/>
      <c r="H96" s="17"/>
    </row>
    <row r="97" spans="1:8" s="8" customFormat="1" ht="5.25" customHeight="1" x14ac:dyDescent="0.25">
      <c r="A97" s="7"/>
      <c r="B97" s="7"/>
      <c r="C97" s="7"/>
      <c r="D97" s="7"/>
      <c r="E97" s="7"/>
      <c r="F97" s="93"/>
      <c r="G97" s="7"/>
      <c r="H97" s="7"/>
    </row>
    <row r="98" spans="1:8" s="9" customFormat="1" ht="15" customHeight="1" x14ac:dyDescent="0.25">
      <c r="A98" s="869" t="s">
        <v>201</v>
      </c>
      <c r="B98" s="867" t="s">
        <v>202</v>
      </c>
      <c r="C98" s="869" t="s">
        <v>65</v>
      </c>
      <c r="D98" s="70" t="s">
        <v>98</v>
      </c>
      <c r="E98" s="70">
        <f>SUM(E99:E106)</f>
        <v>122</v>
      </c>
      <c r="F98" s="84">
        <f>SUM(F99:F106)</f>
        <v>265953.16000000003</v>
      </c>
      <c r="G98" s="70">
        <f>SUM(G99:G106)</f>
        <v>0</v>
      </c>
      <c r="H98" s="71">
        <f>SUM(H99:H106)</f>
        <v>0</v>
      </c>
    </row>
    <row r="99" spans="1:8" s="3" customFormat="1" ht="18" customHeight="1" x14ac:dyDescent="0.25">
      <c r="A99" s="870"/>
      <c r="B99" s="868"/>
      <c r="C99" s="870"/>
      <c r="D99" s="83" t="s">
        <v>164</v>
      </c>
      <c r="E99" s="30">
        <v>62</v>
      </c>
      <c r="F99" s="37">
        <v>154897</v>
      </c>
      <c r="G99" s="4"/>
      <c r="H99" s="17"/>
    </row>
    <row r="100" spans="1:8" s="2" customFormat="1" ht="14.25" customHeight="1" x14ac:dyDescent="0.25">
      <c r="A100" s="870"/>
      <c r="B100" s="868"/>
      <c r="C100" s="870"/>
      <c r="D100" s="83" t="s">
        <v>165</v>
      </c>
      <c r="E100" s="30"/>
      <c r="F100" s="37"/>
      <c r="G100" s="4"/>
      <c r="H100" s="17"/>
    </row>
    <row r="101" spans="1:8" s="2" customFormat="1" ht="14.25" customHeight="1" x14ac:dyDescent="0.25">
      <c r="A101" s="870"/>
      <c r="B101" s="868"/>
      <c r="C101" s="870"/>
      <c r="D101" s="83" t="s">
        <v>166</v>
      </c>
      <c r="E101" s="30">
        <v>10</v>
      </c>
      <c r="F101" s="37">
        <v>14645.5</v>
      </c>
      <c r="G101" s="4"/>
      <c r="H101" s="17"/>
    </row>
    <row r="102" spans="1:8" s="2" customFormat="1" ht="14.25" customHeight="1" x14ac:dyDescent="0.25">
      <c r="A102" s="870"/>
      <c r="B102" s="868"/>
      <c r="C102" s="870"/>
      <c r="D102" s="83" t="s">
        <v>167</v>
      </c>
      <c r="E102" s="30">
        <v>3</v>
      </c>
      <c r="F102" s="37">
        <v>4300</v>
      </c>
      <c r="G102" s="4"/>
      <c r="H102" s="17"/>
    </row>
    <row r="103" spans="1:8" s="2" customFormat="1" ht="15.75" customHeight="1" x14ac:dyDescent="0.25">
      <c r="A103" s="870"/>
      <c r="B103" s="868"/>
      <c r="C103" s="870"/>
      <c r="D103" s="83" t="s">
        <v>168</v>
      </c>
      <c r="E103" s="30">
        <v>14</v>
      </c>
      <c r="F103" s="37">
        <v>30102.58</v>
      </c>
      <c r="G103" s="4"/>
      <c r="H103" s="17"/>
    </row>
    <row r="104" spans="1:8" s="2" customFormat="1" ht="14.25" customHeight="1" x14ac:dyDescent="0.25">
      <c r="A104" s="870"/>
      <c r="B104" s="868"/>
      <c r="C104" s="870"/>
      <c r="D104" s="83" t="s">
        <v>169</v>
      </c>
      <c r="E104" s="30"/>
      <c r="F104" s="37"/>
      <c r="G104" s="4"/>
      <c r="H104" s="17"/>
    </row>
    <row r="105" spans="1:8" s="2" customFormat="1" ht="14.25" customHeight="1" x14ac:dyDescent="0.25">
      <c r="A105" s="870"/>
      <c r="B105" s="868"/>
      <c r="C105" s="870"/>
      <c r="D105" s="83" t="s">
        <v>170</v>
      </c>
      <c r="E105" s="30"/>
      <c r="F105" s="37"/>
      <c r="G105" s="4"/>
      <c r="H105" s="17"/>
    </row>
    <row r="106" spans="1:8" s="2" customFormat="1" ht="14.25" customHeight="1" x14ac:dyDescent="0.25">
      <c r="A106" s="873"/>
      <c r="B106" s="874"/>
      <c r="C106" s="873"/>
      <c r="D106" s="83" t="s">
        <v>171</v>
      </c>
      <c r="E106" s="30">
        <v>33</v>
      </c>
      <c r="F106" s="37">
        <v>62008.08</v>
      </c>
      <c r="G106" s="4"/>
      <c r="H106" s="17"/>
    </row>
    <row r="107" spans="1:8" x14ac:dyDescent="0.25">
      <c r="A107" t="s">
        <v>26</v>
      </c>
      <c r="B107" t="s">
        <v>28</v>
      </c>
      <c r="D107" t="s">
        <v>31</v>
      </c>
      <c r="F107"/>
    </row>
    <row r="108" spans="1:8" x14ac:dyDescent="0.25">
      <c r="F108"/>
    </row>
    <row r="109" spans="1:8" x14ac:dyDescent="0.25">
      <c r="A109" t="s">
        <v>27</v>
      </c>
      <c r="B109" t="s">
        <v>29</v>
      </c>
      <c r="D109" t="s">
        <v>32</v>
      </c>
      <c r="F109"/>
    </row>
    <row r="110" spans="1:8" x14ac:dyDescent="0.25">
      <c r="A110" t="s">
        <v>223</v>
      </c>
      <c r="B110" t="s">
        <v>30</v>
      </c>
      <c r="D110" t="s">
        <v>33</v>
      </c>
      <c r="F110"/>
    </row>
  </sheetData>
  <mergeCells count="37">
    <mergeCell ref="B24:B32"/>
    <mergeCell ref="C59:C67"/>
    <mergeCell ref="A69:A77"/>
    <mergeCell ref="C69:C77"/>
    <mergeCell ref="A87:A96"/>
    <mergeCell ref="B87:B96"/>
    <mergeCell ref="C87:C96"/>
    <mergeCell ref="B69:B77"/>
    <mergeCell ref="A59:A67"/>
    <mergeCell ref="B59:B67"/>
    <mergeCell ref="A21:A22"/>
    <mergeCell ref="B21:B22"/>
    <mergeCell ref="C21:C22"/>
    <mergeCell ref="A11:A19"/>
    <mergeCell ref="B98:B106"/>
    <mergeCell ref="A98:A106"/>
    <mergeCell ref="C98:C106"/>
    <mergeCell ref="B79:B81"/>
    <mergeCell ref="A80:A85"/>
    <mergeCell ref="B11:B19"/>
    <mergeCell ref="C11:C19"/>
    <mergeCell ref="A24:A32"/>
    <mergeCell ref="C24:C32"/>
    <mergeCell ref="A49:A57"/>
    <mergeCell ref="B49:B57"/>
    <mergeCell ref="C49:C57"/>
    <mergeCell ref="A1:H1"/>
    <mergeCell ref="A2:H2"/>
    <mergeCell ref="A4:H4"/>
    <mergeCell ref="A5:H5"/>
    <mergeCell ref="A7:A8"/>
    <mergeCell ref="B7:B8"/>
    <mergeCell ref="C7:C8"/>
    <mergeCell ref="D7:D8"/>
    <mergeCell ref="E7:E8"/>
    <mergeCell ref="F7:F8"/>
    <mergeCell ref="G7:H7"/>
  </mergeCells>
  <printOptions horizontalCentered="1"/>
  <pageMargins left="0.52" right="0.95" top="0.68" bottom="0.69" header="0.3" footer="0.4"/>
  <pageSetup paperSize="9" scale="80" orientation="landscape" verticalDpi="300" r:id="rId1"/>
  <headerFooter>
    <oddFooter>&amp;L4th District of Pampanga&amp;CPage &amp;P of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275</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869" t="s">
        <v>252</v>
      </c>
      <c r="B8" s="1064" t="s">
        <v>251</v>
      </c>
      <c r="C8" s="224" t="s">
        <v>98</v>
      </c>
      <c r="D8" s="224">
        <f>SUM(D9:D14)</f>
        <v>30</v>
      </c>
      <c r="E8" s="84">
        <f>SUM(E9:E14)</f>
        <v>30654750</v>
      </c>
    </row>
    <row r="9" spans="1:5" s="3" customFormat="1" ht="21.75" customHeight="1" x14ac:dyDescent="0.25">
      <c r="A9" s="870"/>
      <c r="B9" s="1066"/>
      <c r="C9" s="259" t="s">
        <v>164</v>
      </c>
      <c r="D9" s="260">
        <v>3</v>
      </c>
      <c r="E9" s="261">
        <v>5300000</v>
      </c>
    </row>
    <row r="10" spans="1:5" s="3" customFormat="1" ht="21.75" customHeight="1" x14ac:dyDescent="0.25">
      <c r="A10" s="870"/>
      <c r="B10" s="1066"/>
      <c r="C10" s="259" t="s">
        <v>165</v>
      </c>
      <c r="D10" s="260">
        <v>4</v>
      </c>
      <c r="E10" s="261">
        <v>5214750</v>
      </c>
    </row>
    <row r="11" spans="1:5" s="3" customFormat="1" ht="21.75" customHeight="1" x14ac:dyDescent="0.25">
      <c r="A11" s="870"/>
      <c r="B11" s="1066"/>
      <c r="C11" s="259" t="s">
        <v>166</v>
      </c>
      <c r="D11" s="260">
        <v>7</v>
      </c>
      <c r="E11" s="261">
        <v>3825000</v>
      </c>
    </row>
    <row r="12" spans="1:5" s="3" customFormat="1" ht="21.75" customHeight="1" x14ac:dyDescent="0.25">
      <c r="A12" s="870"/>
      <c r="B12" s="1066"/>
      <c r="C12" s="259" t="s">
        <v>167</v>
      </c>
      <c r="D12" s="260">
        <v>6</v>
      </c>
      <c r="E12" s="261">
        <v>6980000</v>
      </c>
    </row>
    <row r="13" spans="1:5" s="3" customFormat="1" ht="21.75" customHeight="1" x14ac:dyDescent="0.25">
      <c r="A13" s="870"/>
      <c r="B13" s="1066"/>
      <c r="C13" s="259" t="s">
        <v>90</v>
      </c>
      <c r="D13" s="260">
        <v>4</v>
      </c>
      <c r="E13" s="261">
        <v>3485000</v>
      </c>
    </row>
    <row r="14" spans="1:5" s="3" customFormat="1" ht="21.75" customHeight="1" x14ac:dyDescent="0.25">
      <c r="A14" s="873"/>
      <c r="B14" s="1065"/>
      <c r="C14" s="259" t="s">
        <v>276</v>
      </c>
      <c r="D14" s="260">
        <v>6</v>
      </c>
      <c r="E14" s="261">
        <v>5850000</v>
      </c>
    </row>
    <row r="15" spans="1:5" ht="21" customHeight="1" x14ac:dyDescent="0.25">
      <c r="A15" s="52"/>
      <c r="B15" s="258"/>
      <c r="C15" s="115"/>
      <c r="D15" s="251"/>
      <c r="E15" s="252"/>
    </row>
    <row r="16" spans="1:5" ht="15" customHeight="1" x14ac:dyDescent="0.25">
      <c r="A16" s="52"/>
      <c r="B16" s="258"/>
      <c r="C16" s="115"/>
      <c r="D16" s="251"/>
      <c r="E16" s="252"/>
    </row>
    <row r="17" spans="1:4" x14ac:dyDescent="0.25">
      <c r="A17" t="s">
        <v>27</v>
      </c>
      <c r="B17" t="s">
        <v>29</v>
      </c>
      <c r="D17" t="s">
        <v>32</v>
      </c>
    </row>
    <row r="18" spans="1:4" x14ac:dyDescent="0.25">
      <c r="A18" t="s">
        <v>223</v>
      </c>
      <c r="B18" t="s">
        <v>30</v>
      </c>
      <c r="D18" t="s">
        <v>33</v>
      </c>
    </row>
  </sheetData>
  <mergeCells count="10">
    <mergeCell ref="A8:A14"/>
    <mergeCell ref="B8:B14"/>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opLeftCell="A57" workbookViewId="0">
      <selection activeCell="A6" sqref="A6:F12"/>
    </sheetView>
  </sheetViews>
  <sheetFormatPr defaultRowHeight="15" x14ac:dyDescent="0.25"/>
  <cols>
    <col min="1" max="1" width="30.85546875" customWidth="1"/>
    <col min="2" max="2" width="42" customWidth="1"/>
    <col min="3" max="3" width="15" customWidth="1"/>
    <col min="4" max="4" width="14.5703125" customWidth="1"/>
    <col min="5" max="5" width="10.85546875" customWidth="1"/>
    <col min="6" max="6" width="17.8554687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239</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181">
        <f>F11+F23+F26+F43+F55+F67+F81+F109</f>
        <v>94909349.689999998</v>
      </c>
      <c r="G9" s="11"/>
      <c r="H9" s="181">
        <f>H11+H23+H26+H43+H55+H67+H81+H109</f>
        <v>218016240</v>
      </c>
    </row>
    <row r="10" spans="1:8" s="8" customFormat="1" ht="6" customHeight="1" x14ac:dyDescent="0.25">
      <c r="A10" s="7"/>
      <c r="B10" s="7"/>
      <c r="C10" s="7"/>
      <c r="D10" s="7"/>
      <c r="E10" s="7"/>
      <c r="F10" s="93"/>
      <c r="G10" s="7"/>
      <c r="H10" s="7"/>
    </row>
    <row r="11" spans="1:8" s="3" customFormat="1" ht="20.25" customHeight="1" x14ac:dyDescent="0.25">
      <c r="A11" s="869" t="s">
        <v>5</v>
      </c>
      <c r="B11" s="867" t="s">
        <v>50</v>
      </c>
      <c r="C11" s="871" t="s">
        <v>21</v>
      </c>
      <c r="D11" s="70" t="s">
        <v>79</v>
      </c>
      <c r="E11" s="70">
        <f>SUM(E12:E21)</f>
        <v>11474</v>
      </c>
      <c r="F11" s="84">
        <f>SUM(F12:F21)</f>
        <v>71950000</v>
      </c>
      <c r="G11" s="70">
        <f>SUM(G12:G21)</f>
        <v>11937</v>
      </c>
      <c r="H11" s="71">
        <f>SUM(H12:H21)</f>
        <v>179055000</v>
      </c>
    </row>
    <row r="12" spans="1:8" s="3" customFormat="1" ht="21" customHeight="1" x14ac:dyDescent="0.25">
      <c r="A12" s="870"/>
      <c r="B12" s="868"/>
      <c r="C12" s="872"/>
      <c r="D12" s="83" t="s">
        <v>172</v>
      </c>
      <c r="E12" s="30">
        <v>370</v>
      </c>
      <c r="F12" s="37">
        <v>2361800</v>
      </c>
      <c r="G12" s="4">
        <v>381</v>
      </c>
      <c r="H12" s="17">
        <v>5715000</v>
      </c>
    </row>
    <row r="13" spans="1:8" s="2" customFormat="1" ht="14.25" customHeight="1" x14ac:dyDescent="0.25">
      <c r="A13" s="870"/>
      <c r="B13" s="868"/>
      <c r="C13" s="872"/>
      <c r="D13" s="83" t="s">
        <v>173</v>
      </c>
      <c r="E13" s="30">
        <v>1510</v>
      </c>
      <c r="F13" s="37">
        <v>10080300</v>
      </c>
      <c r="G13" s="4">
        <v>1580</v>
      </c>
      <c r="H13" s="17">
        <v>23700000</v>
      </c>
    </row>
    <row r="14" spans="1:8" s="2" customFormat="1" ht="14.25" customHeight="1" x14ac:dyDescent="0.25">
      <c r="A14" s="870"/>
      <c r="B14" s="868"/>
      <c r="C14" s="872"/>
      <c r="D14" s="83" t="s">
        <v>174</v>
      </c>
      <c r="E14" s="30">
        <v>1465</v>
      </c>
      <c r="F14" s="37">
        <v>9437700</v>
      </c>
      <c r="G14" s="4">
        <v>1511</v>
      </c>
      <c r="H14" s="17">
        <v>22665000</v>
      </c>
    </row>
    <row r="15" spans="1:8" s="2" customFormat="1" ht="14.25" customHeight="1" x14ac:dyDescent="0.25">
      <c r="A15" s="870"/>
      <c r="B15" s="868"/>
      <c r="C15" s="872"/>
      <c r="D15" s="83" t="s">
        <v>175</v>
      </c>
      <c r="E15" s="30">
        <v>1880</v>
      </c>
      <c r="F15" s="37">
        <v>12214400</v>
      </c>
      <c r="G15" s="4">
        <v>1958</v>
      </c>
      <c r="H15" s="17">
        <v>29370000</v>
      </c>
    </row>
    <row r="16" spans="1:8" s="2" customFormat="1" ht="14.25" customHeight="1" x14ac:dyDescent="0.25">
      <c r="A16" s="870"/>
      <c r="B16" s="868"/>
      <c r="C16" s="872"/>
      <c r="D16" s="83" t="s">
        <v>176</v>
      </c>
      <c r="E16" s="30">
        <v>2103</v>
      </c>
      <c r="F16" s="37">
        <v>13731800</v>
      </c>
      <c r="G16" s="4">
        <v>2208</v>
      </c>
      <c r="H16" s="17">
        <v>33120000</v>
      </c>
    </row>
    <row r="17" spans="1:8" s="2" customFormat="1" ht="14.25" customHeight="1" x14ac:dyDescent="0.25">
      <c r="A17" s="870"/>
      <c r="B17" s="868"/>
      <c r="C17" s="872"/>
      <c r="D17" s="83" t="s">
        <v>177</v>
      </c>
      <c r="E17" s="30">
        <v>614</v>
      </c>
      <c r="F17" s="37">
        <v>2532600</v>
      </c>
      <c r="G17" s="4">
        <v>645</v>
      </c>
      <c r="H17" s="17">
        <v>9675000</v>
      </c>
    </row>
    <row r="18" spans="1:8" s="2" customFormat="1" ht="14.25" customHeight="1" x14ac:dyDescent="0.25">
      <c r="A18" s="870"/>
      <c r="B18" s="868"/>
      <c r="C18" s="872"/>
      <c r="D18" s="83" t="s">
        <v>178</v>
      </c>
      <c r="E18" s="30">
        <v>935</v>
      </c>
      <c r="F18" s="37">
        <v>6630700</v>
      </c>
      <c r="G18" s="4">
        <v>950</v>
      </c>
      <c r="H18" s="17">
        <v>14250000</v>
      </c>
    </row>
    <row r="19" spans="1:8" s="2" customFormat="1" ht="14.25" customHeight="1" x14ac:dyDescent="0.25">
      <c r="A19" s="870"/>
      <c r="B19" s="868"/>
      <c r="C19" s="872"/>
      <c r="D19" s="83" t="s">
        <v>179</v>
      </c>
      <c r="E19" s="30">
        <v>467</v>
      </c>
      <c r="F19" s="37">
        <v>2770300</v>
      </c>
      <c r="G19" s="4">
        <v>504</v>
      </c>
      <c r="H19" s="17">
        <v>7560000</v>
      </c>
    </row>
    <row r="20" spans="1:8" s="2" customFormat="1" ht="14.25" customHeight="1" x14ac:dyDescent="0.25">
      <c r="A20" s="870"/>
      <c r="B20" s="868"/>
      <c r="C20" s="872"/>
      <c r="D20" s="83" t="s">
        <v>180</v>
      </c>
      <c r="E20" s="30">
        <v>928</v>
      </c>
      <c r="F20" s="37">
        <v>6204500</v>
      </c>
      <c r="G20" s="4">
        <v>945</v>
      </c>
      <c r="H20" s="17">
        <v>14175000</v>
      </c>
    </row>
    <row r="21" spans="1:8" s="2" customFormat="1" ht="14.25" customHeight="1" x14ac:dyDescent="0.25">
      <c r="A21" s="870"/>
      <c r="B21" s="868"/>
      <c r="C21" s="872"/>
      <c r="D21" s="83" t="s">
        <v>181</v>
      </c>
      <c r="E21" s="30">
        <v>1202</v>
      </c>
      <c r="F21" s="37">
        <v>5985900</v>
      </c>
      <c r="G21" s="4">
        <v>1255</v>
      </c>
      <c r="H21" s="17">
        <v>18825000</v>
      </c>
    </row>
    <row r="22" spans="1:8" s="8" customFormat="1" ht="6" customHeight="1" x14ac:dyDescent="0.25">
      <c r="A22" s="7"/>
      <c r="B22" s="7"/>
      <c r="C22" s="7"/>
      <c r="D22" s="7"/>
      <c r="E22" s="7"/>
      <c r="F22" s="93"/>
      <c r="G22" s="7"/>
      <c r="H22" s="7"/>
    </row>
    <row r="23" spans="1:8" s="9" customFormat="1" ht="24.75" customHeight="1" x14ac:dyDescent="0.25">
      <c r="A23" s="869" t="s">
        <v>61</v>
      </c>
      <c r="B23" s="831" t="s">
        <v>62</v>
      </c>
      <c r="C23" s="871" t="s">
        <v>21</v>
      </c>
      <c r="D23" s="70" t="s">
        <v>79</v>
      </c>
      <c r="E23" s="70">
        <f>SUM(E24:E24)</f>
        <v>56</v>
      </c>
      <c r="F23" s="84">
        <f>SUM(F24:F24)</f>
        <v>285100</v>
      </c>
      <c r="G23" s="70">
        <f>SUM(G24:G24)</f>
        <v>0</v>
      </c>
      <c r="H23" s="71">
        <f>SUM(H24:H24)</f>
        <v>0</v>
      </c>
    </row>
    <row r="24" spans="1:8" s="3" customFormat="1" ht="75.75" customHeight="1" x14ac:dyDescent="0.25">
      <c r="A24" s="873"/>
      <c r="B24" s="832"/>
      <c r="C24" s="875"/>
      <c r="D24" s="195" t="s">
        <v>181</v>
      </c>
      <c r="E24" s="233">
        <v>56</v>
      </c>
      <c r="F24" s="234">
        <v>285100</v>
      </c>
      <c r="G24" s="196"/>
      <c r="H24" s="197"/>
    </row>
    <row r="25" spans="1:8" s="8" customFormat="1" ht="6" customHeight="1" x14ac:dyDescent="0.25">
      <c r="A25" s="7"/>
      <c r="B25" s="7"/>
      <c r="C25" s="7"/>
      <c r="D25" s="7"/>
      <c r="E25" s="7"/>
      <c r="F25" s="93"/>
      <c r="G25" s="7"/>
      <c r="H25" s="7"/>
    </row>
    <row r="26" spans="1:8" s="9" customFormat="1" ht="19.5" customHeight="1" x14ac:dyDescent="0.25">
      <c r="A26" s="869" t="s">
        <v>7</v>
      </c>
      <c r="B26" s="867" t="s">
        <v>52</v>
      </c>
      <c r="C26" s="871" t="s">
        <v>53</v>
      </c>
      <c r="D26" s="224" t="s">
        <v>79</v>
      </c>
      <c r="E26" s="224">
        <f>SUM(E27:E36)</f>
        <v>76</v>
      </c>
      <c r="F26" s="231">
        <f>SUM(F27:F36)</f>
        <v>610000</v>
      </c>
      <c r="G26" s="224">
        <f>SUM(G27:G36)</f>
        <v>515</v>
      </c>
      <c r="H26" s="232">
        <f>SUM(H27:H36)</f>
        <v>2775000</v>
      </c>
    </row>
    <row r="27" spans="1:8" s="3" customFormat="1" ht="21" customHeight="1" x14ac:dyDescent="0.25">
      <c r="A27" s="870"/>
      <c r="B27" s="868"/>
      <c r="C27" s="872"/>
      <c r="D27" s="83" t="s">
        <v>172</v>
      </c>
      <c r="E27" s="30"/>
      <c r="F27" s="37"/>
      <c r="G27" s="4">
        <v>50</v>
      </c>
      <c r="H27" s="17">
        <v>300000</v>
      </c>
    </row>
    <row r="28" spans="1:8" s="2" customFormat="1" ht="14.25" customHeight="1" x14ac:dyDescent="0.25">
      <c r="A28" s="870"/>
      <c r="B28" s="868"/>
      <c r="C28" s="872"/>
      <c r="D28" s="83" t="s">
        <v>173</v>
      </c>
      <c r="E28" s="30">
        <f>1</f>
        <v>1</v>
      </c>
      <c r="F28" s="37">
        <f>10000</f>
        <v>10000</v>
      </c>
      <c r="G28" s="4">
        <v>60</v>
      </c>
      <c r="H28" s="17">
        <v>300000</v>
      </c>
    </row>
    <row r="29" spans="1:8" s="2" customFormat="1" ht="14.25" customHeight="1" x14ac:dyDescent="0.25">
      <c r="A29" s="870"/>
      <c r="B29" s="868"/>
      <c r="C29" s="872"/>
      <c r="D29" s="83" t="s">
        <v>174</v>
      </c>
      <c r="E29" s="30"/>
      <c r="F29" s="37"/>
      <c r="G29" s="4">
        <v>50</v>
      </c>
      <c r="H29" s="17">
        <v>300000</v>
      </c>
    </row>
    <row r="30" spans="1:8" s="2" customFormat="1" ht="14.25" customHeight="1" x14ac:dyDescent="0.25">
      <c r="A30" s="870"/>
      <c r="B30" s="868"/>
      <c r="C30" s="872"/>
      <c r="D30" s="83" t="s">
        <v>175</v>
      </c>
      <c r="E30" s="30"/>
      <c r="F30" s="37"/>
      <c r="G30" s="4">
        <v>60</v>
      </c>
      <c r="H30" s="17">
        <v>300000</v>
      </c>
    </row>
    <row r="31" spans="1:8" s="2" customFormat="1" ht="14.25" customHeight="1" x14ac:dyDescent="0.25">
      <c r="A31" s="870"/>
      <c r="B31" s="868"/>
      <c r="C31" s="872"/>
      <c r="D31" s="83" t="s">
        <v>176</v>
      </c>
      <c r="E31" s="30"/>
      <c r="F31" s="37"/>
      <c r="G31" s="4">
        <v>50</v>
      </c>
      <c r="H31" s="17">
        <v>300000</v>
      </c>
    </row>
    <row r="32" spans="1:8" s="2" customFormat="1" ht="14.25" customHeight="1" x14ac:dyDescent="0.25">
      <c r="A32" s="870"/>
      <c r="B32" s="868"/>
      <c r="C32" s="872"/>
      <c r="D32" s="83" t="s">
        <v>177</v>
      </c>
      <c r="E32" s="30">
        <f>75</f>
        <v>75</v>
      </c>
      <c r="F32" s="37">
        <f>600000</f>
        <v>600000</v>
      </c>
      <c r="G32" s="4">
        <v>60</v>
      </c>
      <c r="H32" s="17">
        <v>300000</v>
      </c>
    </row>
    <row r="33" spans="1:8" s="2" customFormat="1" ht="14.25" customHeight="1" x14ac:dyDescent="0.25">
      <c r="A33" s="870"/>
      <c r="B33" s="868"/>
      <c r="C33" s="872"/>
      <c r="D33" s="83" t="s">
        <v>178</v>
      </c>
      <c r="E33" s="30"/>
      <c r="F33" s="37"/>
      <c r="G33" s="4">
        <v>45</v>
      </c>
      <c r="H33" s="17">
        <v>225000</v>
      </c>
    </row>
    <row r="34" spans="1:8" s="2" customFormat="1" ht="14.25" customHeight="1" x14ac:dyDescent="0.25">
      <c r="A34" s="870"/>
      <c r="B34" s="868"/>
      <c r="C34" s="872"/>
      <c r="D34" s="83" t="s">
        <v>179</v>
      </c>
      <c r="E34" s="30"/>
      <c r="F34" s="37"/>
      <c r="G34" s="4">
        <v>60</v>
      </c>
      <c r="H34" s="17">
        <v>300000</v>
      </c>
    </row>
    <row r="35" spans="1:8" s="2" customFormat="1" ht="14.25" customHeight="1" x14ac:dyDescent="0.25">
      <c r="A35" s="870"/>
      <c r="B35" s="868"/>
      <c r="C35" s="872"/>
      <c r="D35" s="83" t="s">
        <v>180</v>
      </c>
      <c r="E35" s="30"/>
      <c r="F35" s="37"/>
      <c r="G35" s="4">
        <v>30</v>
      </c>
      <c r="H35" s="17">
        <v>150000</v>
      </c>
    </row>
    <row r="36" spans="1:8" s="2" customFormat="1" ht="14.25" customHeight="1" x14ac:dyDescent="0.25">
      <c r="A36" s="873"/>
      <c r="B36" s="874"/>
      <c r="C36" s="875"/>
      <c r="D36" s="83" t="s">
        <v>181</v>
      </c>
      <c r="E36" s="30"/>
      <c r="F36" s="37"/>
      <c r="G36" s="4">
        <v>50</v>
      </c>
      <c r="H36" s="17">
        <v>300000</v>
      </c>
    </row>
    <row r="37" spans="1:8" s="123" customFormat="1" ht="6" customHeight="1" x14ac:dyDescent="0.25">
      <c r="F37" s="174"/>
    </row>
    <row r="38" spans="1:8" s="123" customFormat="1" ht="6" customHeight="1" x14ac:dyDescent="0.25">
      <c r="F38" s="174"/>
    </row>
    <row r="39" spans="1:8" s="123" customFormat="1" ht="6" customHeight="1" x14ac:dyDescent="0.25">
      <c r="F39" s="174"/>
    </row>
    <row r="40" spans="1:8" s="123" customFormat="1" ht="6" customHeight="1" x14ac:dyDescent="0.25">
      <c r="F40" s="174"/>
    </row>
    <row r="41" spans="1:8" s="123" customFormat="1" ht="6" customHeight="1" x14ac:dyDescent="0.25">
      <c r="F41" s="174"/>
    </row>
    <row r="42" spans="1:8" s="123" customFormat="1" ht="6" customHeight="1" x14ac:dyDescent="0.25">
      <c r="F42" s="174"/>
    </row>
    <row r="43" spans="1:8" s="9" customFormat="1" ht="18" customHeight="1" x14ac:dyDescent="0.25">
      <c r="A43" s="869" t="s">
        <v>6</v>
      </c>
      <c r="B43" s="867" t="s">
        <v>54</v>
      </c>
      <c r="C43" s="869" t="s">
        <v>20</v>
      </c>
      <c r="D43" s="70" t="s">
        <v>79</v>
      </c>
      <c r="E43" s="70">
        <f>SUM(E44:E53)</f>
        <v>8984</v>
      </c>
      <c r="F43" s="84">
        <f>SUM(F44:F53)</f>
        <v>14076180</v>
      </c>
      <c r="G43" s="70">
        <f>SUM(G44:G53)</f>
        <v>13304</v>
      </c>
      <c r="H43" s="71">
        <f>SUM(H44:H53)</f>
        <v>20754240</v>
      </c>
    </row>
    <row r="44" spans="1:8" s="3" customFormat="1" ht="20.25" customHeight="1" x14ac:dyDescent="0.25">
      <c r="A44" s="870"/>
      <c r="B44" s="868"/>
      <c r="C44" s="870"/>
      <c r="D44" s="83" t="s">
        <v>172</v>
      </c>
      <c r="E44" s="30">
        <v>360</v>
      </c>
      <c r="F44" s="37">
        <v>565900</v>
      </c>
      <c r="G44" s="4">
        <v>432</v>
      </c>
      <c r="H44" s="17">
        <v>673920</v>
      </c>
    </row>
    <row r="45" spans="1:8" s="2" customFormat="1" ht="14.25" customHeight="1" x14ac:dyDescent="0.25">
      <c r="A45" s="870"/>
      <c r="B45" s="868"/>
      <c r="C45" s="870"/>
      <c r="D45" s="83" t="s">
        <v>173</v>
      </c>
      <c r="E45" s="30">
        <v>1958</v>
      </c>
      <c r="F45" s="37">
        <v>3087980</v>
      </c>
      <c r="G45" s="4">
        <v>4350</v>
      </c>
      <c r="H45" s="17">
        <v>6786000</v>
      </c>
    </row>
    <row r="46" spans="1:8" s="2" customFormat="1" ht="14.25" customHeight="1" x14ac:dyDescent="0.25">
      <c r="A46" s="870"/>
      <c r="B46" s="868"/>
      <c r="C46" s="870"/>
      <c r="D46" s="83" t="s">
        <v>174</v>
      </c>
      <c r="E46" s="30">
        <v>817</v>
      </c>
      <c r="F46" s="37">
        <v>1227710</v>
      </c>
      <c r="G46" s="4">
        <v>937</v>
      </c>
      <c r="H46" s="17">
        <v>1461720</v>
      </c>
    </row>
    <row r="47" spans="1:8" s="2" customFormat="1" ht="14.25" customHeight="1" x14ac:dyDescent="0.25">
      <c r="A47" s="870"/>
      <c r="B47" s="868"/>
      <c r="C47" s="870"/>
      <c r="D47" s="83" t="s">
        <v>175</v>
      </c>
      <c r="E47" s="30">
        <v>1330</v>
      </c>
      <c r="F47" s="37">
        <v>2090750</v>
      </c>
      <c r="G47" s="4">
        <v>1596</v>
      </c>
      <c r="H47" s="17">
        <v>2489760</v>
      </c>
    </row>
    <row r="48" spans="1:8" s="2" customFormat="1" ht="14.25" customHeight="1" x14ac:dyDescent="0.25">
      <c r="A48" s="870"/>
      <c r="B48" s="868"/>
      <c r="C48" s="870"/>
      <c r="D48" s="83" t="s">
        <v>176</v>
      </c>
      <c r="E48" s="30">
        <v>1516</v>
      </c>
      <c r="F48" s="37">
        <v>2383160</v>
      </c>
      <c r="G48" s="4">
        <v>1819</v>
      </c>
      <c r="H48" s="17">
        <v>2837640</v>
      </c>
    </row>
    <row r="49" spans="1:8" s="2" customFormat="1" ht="14.25" customHeight="1" x14ac:dyDescent="0.25">
      <c r="A49" s="870"/>
      <c r="B49" s="868"/>
      <c r="C49" s="870"/>
      <c r="D49" s="83" t="s">
        <v>177</v>
      </c>
      <c r="E49" s="30">
        <v>556</v>
      </c>
      <c r="F49" s="37">
        <v>874010</v>
      </c>
      <c r="G49" s="4">
        <v>700</v>
      </c>
      <c r="H49" s="17">
        <v>1092000</v>
      </c>
    </row>
    <row r="50" spans="1:8" s="2" customFormat="1" ht="14.25" customHeight="1" x14ac:dyDescent="0.25">
      <c r="A50" s="870"/>
      <c r="B50" s="868"/>
      <c r="C50" s="870"/>
      <c r="D50" s="83" t="s">
        <v>178</v>
      </c>
      <c r="E50" s="30">
        <v>472</v>
      </c>
      <c r="F50" s="37">
        <v>741970</v>
      </c>
      <c r="G50" s="4">
        <v>600</v>
      </c>
      <c r="H50" s="17">
        <v>936000</v>
      </c>
    </row>
    <row r="51" spans="1:8" s="2" customFormat="1" ht="14.25" customHeight="1" x14ac:dyDescent="0.25">
      <c r="A51" s="870"/>
      <c r="B51" s="868"/>
      <c r="C51" s="870"/>
      <c r="D51" s="83" t="s">
        <v>179</v>
      </c>
      <c r="E51" s="30">
        <v>375</v>
      </c>
      <c r="F51" s="37">
        <v>589500</v>
      </c>
      <c r="G51" s="4">
        <v>950</v>
      </c>
      <c r="H51" s="17">
        <v>1482000</v>
      </c>
    </row>
    <row r="52" spans="1:8" s="2" customFormat="1" ht="14.25" customHeight="1" x14ac:dyDescent="0.25">
      <c r="A52" s="870"/>
      <c r="B52" s="868"/>
      <c r="C52" s="870"/>
      <c r="D52" s="83" t="s">
        <v>180</v>
      </c>
      <c r="E52" s="30">
        <v>766</v>
      </c>
      <c r="F52" s="37">
        <v>1204160</v>
      </c>
      <c r="G52" s="4">
        <v>919</v>
      </c>
      <c r="H52" s="17">
        <v>1433640</v>
      </c>
    </row>
    <row r="53" spans="1:8" s="2" customFormat="1" ht="14.25" customHeight="1" x14ac:dyDescent="0.25">
      <c r="A53" s="870"/>
      <c r="B53" s="868"/>
      <c r="C53" s="870"/>
      <c r="D53" s="83" t="s">
        <v>181</v>
      </c>
      <c r="E53" s="30">
        <v>834</v>
      </c>
      <c r="F53" s="37">
        <v>1311040</v>
      </c>
      <c r="G53" s="4">
        <v>1001</v>
      </c>
      <c r="H53" s="17">
        <v>1561560</v>
      </c>
    </row>
    <row r="54" spans="1:8" s="8" customFormat="1" ht="6" customHeight="1" x14ac:dyDescent="0.25">
      <c r="A54" s="7"/>
      <c r="B54" s="7"/>
      <c r="C54" s="7"/>
      <c r="D54" s="7"/>
      <c r="E54" s="7"/>
      <c r="F54" s="93"/>
      <c r="G54" s="7"/>
      <c r="H54" s="7"/>
    </row>
    <row r="55" spans="1:8" s="9" customFormat="1" ht="20.25" customHeight="1" x14ac:dyDescent="0.25">
      <c r="A55" s="869" t="s">
        <v>16</v>
      </c>
      <c r="B55" s="856" t="s">
        <v>55</v>
      </c>
      <c r="C55" s="856" t="s">
        <v>19</v>
      </c>
      <c r="D55" s="70" t="s">
        <v>79</v>
      </c>
      <c r="E55" s="70">
        <f>SUM(E56:E65)</f>
        <v>922</v>
      </c>
      <c r="F55" s="84">
        <f>SUM(F56:F65)</f>
        <v>4034000</v>
      </c>
      <c r="G55" s="70">
        <f>SUM(G56:G65)</f>
        <v>2572</v>
      </c>
      <c r="H55" s="71">
        <f>SUM(H56:H65)</f>
        <v>15432000</v>
      </c>
    </row>
    <row r="56" spans="1:8" s="3" customFormat="1" ht="21" customHeight="1" x14ac:dyDescent="0.25">
      <c r="A56" s="870"/>
      <c r="B56" s="857"/>
      <c r="C56" s="857"/>
      <c r="D56" s="83" t="s">
        <v>172</v>
      </c>
      <c r="E56" s="30">
        <v>95</v>
      </c>
      <c r="F56" s="37">
        <v>427500</v>
      </c>
      <c r="G56" s="4">
        <v>255</v>
      </c>
      <c r="H56" s="17">
        <v>1530000</v>
      </c>
    </row>
    <row r="57" spans="1:8" s="2" customFormat="1" ht="14.25" customHeight="1" x14ac:dyDescent="0.25">
      <c r="A57" s="870"/>
      <c r="B57" s="857"/>
      <c r="C57" s="857"/>
      <c r="D57" s="83" t="s">
        <v>173</v>
      </c>
      <c r="E57" s="30">
        <v>115</v>
      </c>
      <c r="F57" s="37">
        <v>498000</v>
      </c>
      <c r="G57" s="4">
        <v>275</v>
      </c>
      <c r="H57" s="17">
        <v>1650000</v>
      </c>
    </row>
    <row r="58" spans="1:8" s="2" customFormat="1" ht="14.25" customHeight="1" x14ac:dyDescent="0.25">
      <c r="A58" s="870"/>
      <c r="B58" s="857"/>
      <c r="C58" s="857"/>
      <c r="D58" s="83" t="s">
        <v>174</v>
      </c>
      <c r="E58" s="30">
        <v>117</v>
      </c>
      <c r="F58" s="37">
        <v>509500</v>
      </c>
      <c r="G58" s="4">
        <v>277</v>
      </c>
      <c r="H58" s="17">
        <v>1662000</v>
      </c>
    </row>
    <row r="59" spans="1:8" s="2" customFormat="1" ht="14.25" customHeight="1" x14ac:dyDescent="0.25">
      <c r="A59" s="870"/>
      <c r="B59" s="857"/>
      <c r="C59" s="857"/>
      <c r="D59" s="83" t="s">
        <v>175</v>
      </c>
      <c r="E59" s="30">
        <v>125</v>
      </c>
      <c r="F59" s="37">
        <v>522000</v>
      </c>
      <c r="G59" s="4">
        <v>285</v>
      </c>
      <c r="H59" s="17">
        <v>1710000</v>
      </c>
    </row>
    <row r="60" spans="1:8" s="2" customFormat="1" ht="14.25" customHeight="1" x14ac:dyDescent="0.25">
      <c r="A60" s="870"/>
      <c r="B60" s="857"/>
      <c r="C60" s="857"/>
      <c r="D60" s="83" t="s">
        <v>176</v>
      </c>
      <c r="E60" s="30">
        <v>119</v>
      </c>
      <c r="F60" s="37">
        <v>535500</v>
      </c>
      <c r="G60" s="4">
        <v>289</v>
      </c>
      <c r="H60" s="17">
        <v>1734000</v>
      </c>
    </row>
    <row r="61" spans="1:8" s="2" customFormat="1" ht="14.25" customHeight="1" x14ac:dyDescent="0.25">
      <c r="A61" s="870"/>
      <c r="B61" s="857"/>
      <c r="C61" s="857"/>
      <c r="D61" s="83" t="s">
        <v>177</v>
      </c>
      <c r="E61" s="30">
        <v>70</v>
      </c>
      <c r="F61" s="37">
        <v>313000</v>
      </c>
      <c r="G61" s="4">
        <v>240</v>
      </c>
      <c r="H61" s="17">
        <v>1440000</v>
      </c>
    </row>
    <row r="62" spans="1:8" s="2" customFormat="1" ht="14.25" customHeight="1" x14ac:dyDescent="0.25">
      <c r="A62" s="870"/>
      <c r="B62" s="857"/>
      <c r="C62" s="857"/>
      <c r="D62" s="83" t="s">
        <v>178</v>
      </c>
      <c r="E62" s="30">
        <v>70</v>
      </c>
      <c r="F62" s="37">
        <v>314500</v>
      </c>
      <c r="G62" s="4">
        <v>240</v>
      </c>
      <c r="H62" s="17">
        <v>1440000</v>
      </c>
    </row>
    <row r="63" spans="1:8" s="2" customFormat="1" ht="14.25" customHeight="1" x14ac:dyDescent="0.25">
      <c r="A63" s="870"/>
      <c r="B63" s="857"/>
      <c r="C63" s="857"/>
      <c r="D63" s="83" t="s">
        <v>179</v>
      </c>
      <c r="E63" s="30">
        <v>60</v>
      </c>
      <c r="F63" s="37">
        <v>269500</v>
      </c>
      <c r="G63" s="4">
        <v>230</v>
      </c>
      <c r="H63" s="17">
        <v>1380000</v>
      </c>
    </row>
    <row r="64" spans="1:8" s="2" customFormat="1" ht="14.25" customHeight="1" x14ac:dyDescent="0.25">
      <c r="A64" s="870"/>
      <c r="B64" s="857"/>
      <c r="C64" s="857"/>
      <c r="D64" s="83" t="s">
        <v>180</v>
      </c>
      <c r="E64" s="30">
        <v>55</v>
      </c>
      <c r="F64" s="37">
        <v>238500</v>
      </c>
      <c r="G64" s="4">
        <v>225</v>
      </c>
      <c r="H64" s="17">
        <v>1350000</v>
      </c>
    </row>
    <row r="65" spans="1:8" s="2" customFormat="1" ht="14.25" customHeight="1" x14ac:dyDescent="0.25">
      <c r="A65" s="870"/>
      <c r="B65" s="857"/>
      <c r="C65" s="857"/>
      <c r="D65" s="83" t="s">
        <v>181</v>
      </c>
      <c r="E65" s="30">
        <v>96</v>
      </c>
      <c r="F65" s="37">
        <v>406000</v>
      </c>
      <c r="G65" s="4">
        <v>256</v>
      </c>
      <c r="H65" s="17">
        <v>1536000</v>
      </c>
    </row>
    <row r="66" spans="1:8" s="8" customFormat="1" ht="6" customHeight="1" x14ac:dyDescent="0.25">
      <c r="A66" s="7"/>
      <c r="B66" s="7"/>
      <c r="C66" s="7"/>
      <c r="D66" s="7"/>
      <c r="E66" s="7"/>
      <c r="F66" s="93"/>
      <c r="G66" s="7"/>
      <c r="H66" s="7"/>
    </row>
    <row r="67" spans="1:8" s="9" customFormat="1" ht="16.5" customHeight="1" x14ac:dyDescent="0.25">
      <c r="A67" s="869" t="s">
        <v>17</v>
      </c>
      <c r="B67" s="923" t="s">
        <v>56</v>
      </c>
      <c r="C67" s="869" t="s">
        <v>18</v>
      </c>
      <c r="D67" s="70" t="s">
        <v>79</v>
      </c>
      <c r="E67" s="70">
        <f>SUM(E68:E71)</f>
        <v>6</v>
      </c>
      <c r="F67" s="84">
        <f>SUM(F68:F71)</f>
        <v>6350</v>
      </c>
      <c r="G67" s="70">
        <f>SUM(G68:G71)</f>
        <v>0</v>
      </c>
      <c r="H67" s="71">
        <f>SUM(H68:H71)</f>
        <v>0</v>
      </c>
    </row>
    <row r="68" spans="1:8" s="2" customFormat="1" ht="14.25" customHeight="1" x14ac:dyDescent="0.25">
      <c r="A68" s="870"/>
      <c r="B68" s="924"/>
      <c r="C68" s="870"/>
      <c r="D68" s="83" t="s">
        <v>173</v>
      </c>
      <c r="E68" s="30">
        <f>1+1</f>
        <v>2</v>
      </c>
      <c r="F68" s="37">
        <f>1500+1500</f>
        <v>3000</v>
      </c>
      <c r="G68" s="4"/>
      <c r="H68" s="17"/>
    </row>
    <row r="69" spans="1:8" s="2" customFormat="1" ht="14.25" customHeight="1" x14ac:dyDescent="0.25">
      <c r="A69" s="870"/>
      <c r="B69" s="924"/>
      <c r="C69" s="870"/>
      <c r="D69" s="83" t="s">
        <v>174</v>
      </c>
      <c r="E69" s="30">
        <f>1</f>
        <v>1</v>
      </c>
      <c r="F69" s="37">
        <f>1500</f>
        <v>1500</v>
      </c>
      <c r="G69" s="4"/>
      <c r="H69" s="17"/>
    </row>
    <row r="70" spans="1:8" s="2" customFormat="1" ht="14.25" customHeight="1" x14ac:dyDescent="0.25">
      <c r="A70" s="870"/>
      <c r="B70" s="924"/>
      <c r="C70" s="870"/>
      <c r="D70" s="83" t="s">
        <v>178</v>
      </c>
      <c r="E70" s="30">
        <f>1+1</f>
        <v>2</v>
      </c>
      <c r="F70" s="37">
        <f>500+350</f>
        <v>850</v>
      </c>
      <c r="G70" s="4"/>
      <c r="H70" s="17"/>
    </row>
    <row r="71" spans="1:8" s="2" customFormat="1" ht="14.25" customHeight="1" x14ac:dyDescent="0.25">
      <c r="A71" s="873"/>
      <c r="B71" s="924"/>
      <c r="C71" s="873"/>
      <c r="D71" s="83" t="s">
        <v>181</v>
      </c>
      <c r="E71" s="30">
        <f>1</f>
        <v>1</v>
      </c>
      <c r="F71" s="37">
        <f>1000</f>
        <v>1000</v>
      </c>
      <c r="G71" s="4"/>
      <c r="H71" s="17"/>
    </row>
    <row r="72" spans="1:8" s="8" customFormat="1" ht="6" customHeight="1" x14ac:dyDescent="0.3">
      <c r="A72" s="7"/>
      <c r="B72" s="7"/>
      <c r="C72" s="7"/>
      <c r="D72" s="7"/>
      <c r="E72" s="7"/>
      <c r="F72" s="93"/>
      <c r="G72" s="7"/>
      <c r="H72" s="7"/>
    </row>
    <row r="73" spans="1:8" s="9" customFormat="1" ht="34.5" hidden="1" customHeight="1" x14ac:dyDescent="0.25">
      <c r="A73" s="6" t="s">
        <v>22</v>
      </c>
      <c r="B73" s="831" t="s">
        <v>57</v>
      </c>
      <c r="C73" s="6" t="s">
        <v>37</v>
      </c>
      <c r="D73" s="6"/>
      <c r="E73" s="42">
        <f>SUM(E74:E79)</f>
        <v>227</v>
      </c>
      <c r="F73" s="94">
        <f>SUM(F74:F79)</f>
        <v>562960</v>
      </c>
      <c r="G73" s="6"/>
      <c r="H73" s="6"/>
    </row>
    <row r="74" spans="1:8" s="1" customFormat="1" ht="15" hidden="1" customHeight="1" x14ac:dyDescent="0.25">
      <c r="A74" s="972" t="s">
        <v>35</v>
      </c>
      <c r="B74" s="832"/>
      <c r="C74" s="5"/>
      <c r="D74" s="4" t="s">
        <v>42</v>
      </c>
      <c r="E74" s="44"/>
      <c r="F74" s="41"/>
      <c r="G74" s="5"/>
      <c r="H74" s="4" t="s">
        <v>8</v>
      </c>
    </row>
    <row r="75" spans="1:8" s="1" customFormat="1" ht="15" hidden="1" customHeight="1" x14ac:dyDescent="0.25">
      <c r="A75" s="918"/>
      <c r="B75" s="833"/>
      <c r="C75" s="5"/>
      <c r="D75" s="4" t="s">
        <v>43</v>
      </c>
      <c r="E75" s="44"/>
      <c r="F75" s="38"/>
      <c r="G75" s="5"/>
      <c r="H75" s="4" t="s">
        <v>9</v>
      </c>
    </row>
    <row r="76" spans="1:8" s="1" customFormat="1" ht="15" hidden="1" customHeight="1" x14ac:dyDescent="0.25">
      <c r="A76" s="918"/>
      <c r="B76" s="211"/>
      <c r="C76" s="5"/>
      <c r="D76" s="4" t="s">
        <v>44</v>
      </c>
      <c r="E76" s="45">
        <v>227</v>
      </c>
      <c r="F76" s="39">
        <v>562960</v>
      </c>
      <c r="G76" s="5"/>
      <c r="H76" s="4" t="s">
        <v>10</v>
      </c>
    </row>
    <row r="77" spans="1:8" s="1" customFormat="1" ht="15" hidden="1" customHeight="1" x14ac:dyDescent="0.25">
      <c r="A77" s="918"/>
      <c r="B77" s="211"/>
      <c r="C77" s="5"/>
      <c r="D77" s="4" t="s">
        <v>45</v>
      </c>
      <c r="E77" s="44"/>
      <c r="F77" s="39"/>
      <c r="G77" s="5"/>
      <c r="H77" s="4" t="s">
        <v>11</v>
      </c>
    </row>
    <row r="78" spans="1:8" s="1" customFormat="1" ht="15" hidden="1" customHeight="1" x14ac:dyDescent="0.25">
      <c r="A78" s="918"/>
      <c r="B78" s="211"/>
      <c r="C78" s="5"/>
      <c r="D78" s="4" t="s">
        <v>46</v>
      </c>
      <c r="E78" s="44"/>
      <c r="F78" s="39"/>
      <c r="G78" s="5"/>
      <c r="H78" s="4" t="s">
        <v>12</v>
      </c>
    </row>
    <row r="79" spans="1:8" s="1" customFormat="1" ht="15" hidden="1" customHeight="1" x14ac:dyDescent="0.25">
      <c r="A79" s="918"/>
      <c r="B79" s="211"/>
      <c r="C79" s="5"/>
      <c r="D79" s="4" t="s">
        <v>47</v>
      </c>
      <c r="E79" s="44"/>
      <c r="F79" s="40"/>
      <c r="G79" s="5"/>
      <c r="H79" s="4" t="s">
        <v>13</v>
      </c>
    </row>
    <row r="80" spans="1:8" s="8" customFormat="1" ht="8.25" hidden="1" customHeight="1" x14ac:dyDescent="0.25">
      <c r="A80" s="7"/>
      <c r="B80" s="7"/>
      <c r="C80" s="7"/>
      <c r="D80" s="7"/>
      <c r="E80" s="7"/>
      <c r="F80" s="93"/>
      <c r="G80" s="7"/>
      <c r="H80" s="7"/>
    </row>
    <row r="81" spans="1:9" s="9" customFormat="1" ht="18" customHeight="1" x14ac:dyDescent="0.25">
      <c r="A81" s="869" t="s">
        <v>23</v>
      </c>
      <c r="B81" s="831" t="s">
        <v>58</v>
      </c>
      <c r="C81" s="869" t="s">
        <v>24</v>
      </c>
      <c r="D81" s="224" t="s">
        <v>79</v>
      </c>
      <c r="E81" s="224">
        <f>SUM(E82:E84)</f>
        <v>5160</v>
      </c>
      <c r="F81" s="231">
        <f>SUM(F82:F84)</f>
        <v>1383286.17</v>
      </c>
      <c r="G81" s="224">
        <f>SUM(G82:G84)</f>
        <v>0</v>
      </c>
      <c r="H81" s="232">
        <f>SUM(H82:H84)</f>
        <v>0</v>
      </c>
      <c r="I81" s="66"/>
    </row>
    <row r="82" spans="1:9" s="2" customFormat="1" ht="14.25" customHeight="1" x14ac:dyDescent="0.25">
      <c r="A82" s="870"/>
      <c r="B82" s="832"/>
      <c r="C82" s="870"/>
      <c r="D82" s="83" t="s">
        <v>174</v>
      </c>
      <c r="E82" s="30">
        <f>150</f>
        <v>150</v>
      </c>
      <c r="F82" s="37">
        <f>37500</f>
        <v>37500</v>
      </c>
      <c r="G82" s="4"/>
      <c r="H82" s="17"/>
    </row>
    <row r="83" spans="1:9" s="2" customFormat="1" ht="14.25" customHeight="1" x14ac:dyDescent="0.25">
      <c r="A83" s="870"/>
      <c r="B83" s="832"/>
      <c r="C83" s="870"/>
      <c r="D83" s="83" t="s">
        <v>176</v>
      </c>
      <c r="E83" s="30">
        <f>340+2700</f>
        <v>3040</v>
      </c>
      <c r="F83" s="37">
        <f>125768+807807.95</f>
        <v>933575.95</v>
      </c>
      <c r="G83" s="4"/>
      <c r="H83" s="17"/>
    </row>
    <row r="84" spans="1:9" s="2" customFormat="1" ht="62.25" customHeight="1" x14ac:dyDescent="0.25">
      <c r="A84" s="873"/>
      <c r="B84" s="833"/>
      <c r="C84" s="873"/>
      <c r="D84" s="195" t="s">
        <v>181</v>
      </c>
      <c r="E84" s="233">
        <f>1970</f>
        <v>1970</v>
      </c>
      <c r="F84" s="234">
        <f>412210.22</f>
        <v>412210.22</v>
      </c>
      <c r="G84" s="196"/>
      <c r="H84" s="197"/>
    </row>
    <row r="85" spans="1:9" s="51" customFormat="1" ht="42" customHeight="1" x14ac:dyDescent="0.25">
      <c r="A85" s="52"/>
      <c r="B85" s="50"/>
      <c r="C85" s="52"/>
      <c r="D85" s="250"/>
      <c r="E85" s="251"/>
      <c r="F85" s="252"/>
      <c r="G85" s="115"/>
      <c r="H85" s="253"/>
    </row>
    <row r="86" spans="1:9" s="9" customFormat="1" ht="30" hidden="1" customHeight="1" x14ac:dyDescent="0.25">
      <c r="A86" s="218" t="s">
        <v>63</v>
      </c>
      <c r="B86" s="831" t="s">
        <v>64</v>
      </c>
      <c r="C86" s="215" t="s">
        <v>65</v>
      </c>
      <c r="D86" s="155" t="s">
        <v>81</v>
      </c>
      <c r="E86" s="164" t="e">
        <f>SUM(#REF!)</f>
        <v>#REF!</v>
      </c>
      <c r="F86" s="160" t="e">
        <f>SUM(#REF!)</f>
        <v>#REF!</v>
      </c>
      <c r="G86" s="221" t="e">
        <f>#REF!+#REF!</f>
        <v>#REF!</v>
      </c>
      <c r="H86" s="69" t="e">
        <f>#REF!+#REF!</f>
        <v>#REF!</v>
      </c>
    </row>
    <row r="87" spans="1:9" s="3" customFormat="1" ht="27.75" hidden="1" customHeight="1" x14ac:dyDescent="0.25">
      <c r="A87" s="6"/>
      <c r="B87" s="879"/>
      <c r="C87" s="6"/>
      <c r="D87" s="70" t="s">
        <v>79</v>
      </c>
      <c r="E87" s="70">
        <f>SUM(E88:E97)</f>
        <v>0</v>
      </c>
      <c r="F87" s="84">
        <f>SUM(F88:F97)</f>
        <v>0</v>
      </c>
      <c r="G87" s="70">
        <f>SUM(G88:G97)</f>
        <v>0</v>
      </c>
      <c r="H87" s="71">
        <f>SUM(H88:H97)</f>
        <v>0</v>
      </c>
    </row>
    <row r="88" spans="1:9" s="2" customFormat="1" ht="14.25" hidden="1" customHeight="1" x14ac:dyDescent="0.25">
      <c r="A88" s="18"/>
      <c r="B88" s="879"/>
      <c r="C88" s="6"/>
      <c r="D88" s="83" t="s">
        <v>172</v>
      </c>
      <c r="E88" s="30"/>
      <c r="F88" s="37"/>
      <c r="G88" s="4"/>
      <c r="H88" s="17"/>
    </row>
    <row r="89" spans="1:9" s="2" customFormat="1" ht="14.25" hidden="1" customHeight="1" x14ac:dyDescent="0.25">
      <c r="A89" s="972"/>
      <c r="B89" s="879"/>
      <c r="C89" s="6"/>
      <c r="D89" s="83" t="s">
        <v>173</v>
      </c>
      <c r="E89" s="30"/>
      <c r="F89" s="37"/>
      <c r="G89" s="4"/>
      <c r="H89" s="17"/>
    </row>
    <row r="90" spans="1:9" s="2" customFormat="1" ht="14.25" hidden="1" customHeight="1" x14ac:dyDescent="0.25">
      <c r="A90" s="918"/>
      <c r="B90" s="879"/>
      <c r="C90" s="6"/>
      <c r="D90" s="83" t="s">
        <v>174</v>
      </c>
      <c r="E90" s="30"/>
      <c r="F90" s="37"/>
      <c r="G90" s="4"/>
      <c r="H90" s="17"/>
    </row>
    <row r="91" spans="1:9" s="2" customFormat="1" ht="14.25" hidden="1" customHeight="1" x14ac:dyDescent="0.25">
      <c r="A91" s="918"/>
      <c r="B91" s="879"/>
      <c r="C91" s="6"/>
      <c r="D91" s="83" t="s">
        <v>175</v>
      </c>
      <c r="E91" s="30"/>
      <c r="F91" s="37"/>
      <c r="G91" s="4"/>
      <c r="H91" s="17"/>
    </row>
    <row r="92" spans="1:9" s="2" customFormat="1" ht="14.25" hidden="1" customHeight="1" x14ac:dyDescent="0.25">
      <c r="A92" s="918"/>
      <c r="B92" s="879"/>
      <c r="C92" s="6"/>
      <c r="D92" s="83" t="s">
        <v>176</v>
      </c>
      <c r="E92" s="30"/>
      <c r="F92" s="37"/>
      <c r="G92" s="4"/>
      <c r="H92" s="17"/>
    </row>
    <row r="93" spans="1:9" s="2" customFormat="1" ht="14.25" hidden="1" customHeight="1" x14ac:dyDescent="0.25">
      <c r="A93" s="918"/>
      <c r="B93" s="879"/>
      <c r="C93" s="6"/>
      <c r="D93" s="83" t="s">
        <v>177</v>
      </c>
      <c r="E93" s="30"/>
      <c r="F93" s="37"/>
      <c r="G93" s="4"/>
      <c r="H93" s="17"/>
    </row>
    <row r="94" spans="1:9" s="2" customFormat="1" ht="14.25" hidden="1" customHeight="1" x14ac:dyDescent="0.25">
      <c r="A94" s="918"/>
      <c r="B94" s="879"/>
      <c r="C94" s="6"/>
      <c r="D94" s="83" t="s">
        <v>178</v>
      </c>
      <c r="E94" s="30"/>
      <c r="F94" s="37"/>
      <c r="G94" s="4"/>
      <c r="H94" s="17"/>
    </row>
    <row r="95" spans="1:9" s="2" customFormat="1" ht="14.25" hidden="1" customHeight="1" x14ac:dyDescent="0.25">
      <c r="A95" s="918"/>
      <c r="B95" s="879"/>
      <c r="C95" s="6"/>
      <c r="D95" s="83" t="s">
        <v>179</v>
      </c>
      <c r="E95" s="30"/>
      <c r="F95" s="37"/>
      <c r="G95" s="4"/>
      <c r="H95" s="17"/>
    </row>
    <row r="96" spans="1:9" s="2" customFormat="1" ht="14.25" hidden="1" customHeight="1" x14ac:dyDescent="0.25">
      <c r="A96" s="918"/>
      <c r="B96" s="879"/>
      <c r="C96" s="6"/>
      <c r="D96" s="83" t="s">
        <v>180</v>
      </c>
      <c r="E96" s="30"/>
      <c r="F96" s="37"/>
      <c r="G96" s="4"/>
      <c r="H96" s="17"/>
    </row>
    <row r="97" spans="1:8" s="2" customFormat="1" ht="14.25" hidden="1" customHeight="1" x14ac:dyDescent="0.25">
      <c r="A97" s="918"/>
      <c r="B97" s="879"/>
      <c r="C97" s="6"/>
      <c r="D97" s="83" t="s">
        <v>181</v>
      </c>
      <c r="E97" s="30"/>
      <c r="F97" s="37"/>
      <c r="G97" s="4"/>
      <c r="H97" s="17"/>
    </row>
    <row r="98" spans="1:8" s="2" customFormat="1" ht="24" hidden="1" customHeight="1" x14ac:dyDescent="0.25">
      <c r="A98" s="211"/>
      <c r="B98" s="879"/>
      <c r="C98" s="6"/>
      <c r="D98" s="70" t="s">
        <v>80</v>
      </c>
      <c r="E98" s="70">
        <f>SUM(E99:E102)</f>
        <v>0</v>
      </c>
      <c r="F98" s="84">
        <f>SUM(F99:F102)</f>
        <v>0</v>
      </c>
      <c r="G98" s="70">
        <f>SUM(G99:G102)</f>
        <v>0</v>
      </c>
      <c r="H98" s="71">
        <f>SUM(H99:H102)</f>
        <v>0</v>
      </c>
    </row>
    <row r="99" spans="1:8" s="2" customFormat="1" ht="14.25" hidden="1" customHeight="1" x14ac:dyDescent="0.25">
      <c r="A99" s="211"/>
      <c r="B99" s="879"/>
      <c r="C99" s="6"/>
      <c r="D99" s="83" t="s">
        <v>182</v>
      </c>
      <c r="E99" s="30"/>
      <c r="F99" s="37"/>
      <c r="G99" s="4"/>
      <c r="H99" s="17"/>
    </row>
    <row r="100" spans="1:8" s="2" customFormat="1" ht="14.25" hidden="1" customHeight="1" x14ac:dyDescent="0.25">
      <c r="A100" s="211"/>
      <c r="B100" s="879"/>
      <c r="C100" s="6"/>
      <c r="D100" s="83" t="s">
        <v>183</v>
      </c>
      <c r="E100" s="30"/>
      <c r="F100" s="37"/>
      <c r="G100" s="4"/>
      <c r="H100" s="17"/>
    </row>
    <row r="101" spans="1:8" s="2" customFormat="1" ht="14.25" hidden="1" customHeight="1" x14ac:dyDescent="0.25">
      <c r="A101" s="211"/>
      <c r="B101" s="879"/>
      <c r="C101" s="6"/>
      <c r="D101" s="83" t="s">
        <v>184</v>
      </c>
      <c r="E101" s="30"/>
      <c r="F101" s="37"/>
      <c r="G101" s="4"/>
      <c r="H101" s="17"/>
    </row>
    <row r="102" spans="1:8" s="2" customFormat="1" ht="14.25" hidden="1" customHeight="1" x14ac:dyDescent="0.25">
      <c r="A102" s="211"/>
      <c r="B102" s="879"/>
      <c r="C102" s="6"/>
      <c r="D102" s="83" t="s">
        <v>185</v>
      </c>
      <c r="E102" s="30"/>
      <c r="F102" s="37"/>
      <c r="G102" s="4"/>
      <c r="H102" s="17"/>
    </row>
    <row r="103" spans="1:8" s="2" customFormat="1" ht="24" hidden="1" customHeight="1" x14ac:dyDescent="0.25">
      <c r="A103" s="211"/>
      <c r="B103" s="879"/>
      <c r="C103" s="6"/>
      <c r="D103" s="70" t="s">
        <v>97</v>
      </c>
      <c r="E103" s="70">
        <f>SUM(E104:E107)</f>
        <v>0</v>
      </c>
      <c r="F103" s="84">
        <f>SUM(F104:F107)</f>
        <v>0</v>
      </c>
      <c r="G103" s="70">
        <f>SUM(G104:G107)</f>
        <v>0</v>
      </c>
      <c r="H103" s="71">
        <f>SUM(H104:H107)</f>
        <v>0</v>
      </c>
    </row>
    <row r="104" spans="1:8" s="2" customFormat="1" ht="14.25" hidden="1" customHeight="1" x14ac:dyDescent="0.25">
      <c r="A104" s="211"/>
      <c r="B104" s="879"/>
      <c r="C104" s="6"/>
      <c r="D104" s="83" t="s">
        <v>186</v>
      </c>
      <c r="E104" s="30"/>
      <c r="F104" s="37"/>
      <c r="G104" s="4"/>
      <c r="H104" s="17"/>
    </row>
    <row r="105" spans="1:8" s="2" customFormat="1" ht="14.25" hidden="1" customHeight="1" x14ac:dyDescent="0.25">
      <c r="A105" s="211"/>
      <c r="B105" s="879"/>
      <c r="C105" s="6"/>
      <c r="D105" s="83" t="s">
        <v>187</v>
      </c>
      <c r="E105" s="30"/>
      <c r="F105" s="37"/>
      <c r="G105" s="4"/>
      <c r="H105" s="17"/>
    </row>
    <row r="106" spans="1:8" s="2" customFormat="1" ht="14.25" hidden="1" customHeight="1" x14ac:dyDescent="0.25">
      <c r="A106" s="211"/>
      <c r="B106" s="879"/>
      <c r="C106" s="6"/>
      <c r="D106" s="83" t="s">
        <v>188</v>
      </c>
      <c r="E106" s="30"/>
      <c r="F106" s="37"/>
      <c r="G106" s="4"/>
      <c r="H106" s="17"/>
    </row>
    <row r="107" spans="1:8" s="2" customFormat="1" ht="14.25" hidden="1" customHeight="1" x14ac:dyDescent="0.25">
      <c r="A107" s="211"/>
      <c r="B107" s="879"/>
      <c r="C107" s="6"/>
      <c r="D107" s="83" t="s">
        <v>189</v>
      </c>
      <c r="E107" s="30"/>
      <c r="F107" s="37"/>
      <c r="G107" s="4"/>
      <c r="H107" s="17"/>
    </row>
    <row r="108" spans="1:8" s="8" customFormat="1" ht="6" hidden="1" customHeight="1" x14ac:dyDescent="0.25">
      <c r="A108" s="7"/>
      <c r="B108" s="7"/>
      <c r="C108" s="7"/>
      <c r="D108" s="7"/>
      <c r="E108" s="7"/>
      <c r="F108" s="93"/>
      <c r="G108" s="7"/>
      <c r="H108" s="7"/>
    </row>
    <row r="109" spans="1:8" s="9" customFormat="1" ht="30" customHeight="1" x14ac:dyDescent="0.25">
      <c r="A109" s="869" t="s">
        <v>67</v>
      </c>
      <c r="B109" s="831" t="s">
        <v>68</v>
      </c>
      <c r="C109" s="869" t="s">
        <v>65</v>
      </c>
      <c r="D109" s="70" t="s">
        <v>79</v>
      </c>
      <c r="E109" s="70">
        <f>SUM(E110:E114)</f>
        <v>2792</v>
      </c>
      <c r="F109" s="84">
        <f>SUM(F110:F114)</f>
        <v>2564433.52</v>
      </c>
      <c r="G109" s="70">
        <f>SUM(G110:G114)</f>
        <v>0</v>
      </c>
      <c r="H109" s="71">
        <f>SUM(H110:H114)</f>
        <v>0</v>
      </c>
    </row>
    <row r="110" spans="1:8" s="3" customFormat="1" ht="14.25" customHeight="1" x14ac:dyDescent="0.25">
      <c r="A110" s="870"/>
      <c r="B110" s="832"/>
      <c r="C110" s="870"/>
      <c r="D110" s="195" t="s">
        <v>172</v>
      </c>
      <c r="E110" s="30">
        <f>605+235</f>
        <v>840</v>
      </c>
      <c r="F110" s="37">
        <f>149737.5+58162.5</f>
        <v>207900</v>
      </c>
      <c r="G110" s="4"/>
      <c r="H110" s="17"/>
    </row>
    <row r="111" spans="1:8" s="2" customFormat="1" ht="14.25" customHeight="1" x14ac:dyDescent="0.25">
      <c r="A111" s="870"/>
      <c r="B111" s="832"/>
      <c r="C111" s="870"/>
      <c r="D111" s="83" t="s">
        <v>173</v>
      </c>
      <c r="E111" s="30">
        <f>700+128</f>
        <v>828</v>
      </c>
      <c r="F111" s="37">
        <f>1736000+317440</f>
        <v>2053440</v>
      </c>
      <c r="G111" s="4"/>
      <c r="H111" s="17"/>
    </row>
    <row r="112" spans="1:8" s="2" customFormat="1" ht="14.25" customHeight="1" x14ac:dyDescent="0.25">
      <c r="A112" s="870"/>
      <c r="B112" s="832"/>
      <c r="C112" s="870"/>
      <c r="D112" s="83" t="s">
        <v>174</v>
      </c>
      <c r="E112" s="30">
        <f>500</f>
        <v>500</v>
      </c>
      <c r="F112" s="37">
        <f>147403.52</f>
        <v>147403.51999999999</v>
      </c>
      <c r="G112" s="4"/>
      <c r="H112" s="17"/>
    </row>
    <row r="113" spans="1:8" s="2" customFormat="1" ht="14.25" customHeight="1" x14ac:dyDescent="0.25">
      <c r="A113" s="870"/>
      <c r="B113" s="832"/>
      <c r="C113" s="870"/>
      <c r="D113" s="83" t="s">
        <v>179</v>
      </c>
      <c r="E113" s="30"/>
      <c r="F113" s="37"/>
      <c r="G113" s="4"/>
      <c r="H113" s="17"/>
    </row>
    <row r="114" spans="1:8" s="2" customFormat="1" ht="32.25" customHeight="1" x14ac:dyDescent="0.25">
      <c r="A114" s="873"/>
      <c r="B114" s="833"/>
      <c r="C114" s="873"/>
      <c r="D114" s="195" t="s">
        <v>180</v>
      </c>
      <c r="E114" s="233">
        <f>124+500</f>
        <v>624</v>
      </c>
      <c r="F114" s="234">
        <f>30690+125000</f>
        <v>155690</v>
      </c>
      <c r="G114" s="4"/>
      <c r="H114" s="17"/>
    </row>
    <row r="115" spans="1:8" x14ac:dyDescent="0.25">
      <c r="A115" t="s">
        <v>26</v>
      </c>
      <c r="B115" t="s">
        <v>28</v>
      </c>
      <c r="D115" t="s">
        <v>31</v>
      </c>
      <c r="F115"/>
    </row>
    <row r="116" spans="1:8" x14ac:dyDescent="0.25">
      <c r="F116"/>
    </row>
    <row r="117" spans="1:8" x14ac:dyDescent="0.25">
      <c r="A117" t="s">
        <v>27</v>
      </c>
      <c r="B117" t="s">
        <v>29</v>
      </c>
      <c r="D117" t="s">
        <v>32</v>
      </c>
      <c r="F117"/>
    </row>
    <row r="118" spans="1:8" x14ac:dyDescent="0.25">
      <c r="A118" t="s">
        <v>223</v>
      </c>
      <c r="B118" t="s">
        <v>30</v>
      </c>
      <c r="D118" t="s">
        <v>33</v>
      </c>
      <c r="F118"/>
    </row>
  </sheetData>
  <mergeCells count="39">
    <mergeCell ref="C81:C84"/>
    <mergeCell ref="A109:A114"/>
    <mergeCell ref="B109:B114"/>
    <mergeCell ref="C109:C114"/>
    <mergeCell ref="A55:A65"/>
    <mergeCell ref="B86:B107"/>
    <mergeCell ref="A89:A97"/>
    <mergeCell ref="A67:A71"/>
    <mergeCell ref="B73:B75"/>
    <mergeCell ref="A74:A79"/>
    <mergeCell ref="B81:B84"/>
    <mergeCell ref="A81:A84"/>
    <mergeCell ref="B55:B65"/>
    <mergeCell ref="C55:C65"/>
    <mergeCell ref="B67:B71"/>
    <mergeCell ref="C67:C71"/>
    <mergeCell ref="A26:A36"/>
    <mergeCell ref="C26:C36"/>
    <mergeCell ref="A43:A53"/>
    <mergeCell ref="B26:B36"/>
    <mergeCell ref="B43:B53"/>
    <mergeCell ref="C43:C53"/>
    <mergeCell ref="B11:B21"/>
    <mergeCell ref="A23:A24"/>
    <mergeCell ref="B23:B24"/>
    <mergeCell ref="C23:C24"/>
    <mergeCell ref="A11:A21"/>
    <mergeCell ref="C11:C21"/>
    <mergeCell ref="A1:H1"/>
    <mergeCell ref="A2:H2"/>
    <mergeCell ref="A4:H4"/>
    <mergeCell ref="A5:H5"/>
    <mergeCell ref="A7:A8"/>
    <mergeCell ref="B7:B8"/>
    <mergeCell ref="C7:C8"/>
    <mergeCell ref="D7:D8"/>
    <mergeCell ref="E7:E8"/>
    <mergeCell ref="F7:F8"/>
    <mergeCell ref="G7:H7"/>
  </mergeCells>
  <printOptions horizontalCentered="1"/>
  <pageMargins left="0.52" right="0.84" top="0.68" bottom="0.69" header="0.3" footer="0.4"/>
  <pageSetup paperSize="9" scale="80" orientation="landscape" verticalDpi="300" r:id="rId1"/>
  <headerFooter>
    <oddFooter>&amp;L1st District of Tarlac&amp;CPage &amp;P of &amp;N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277</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928" t="s">
        <v>252</v>
      </c>
      <c r="B8" s="1047" t="s">
        <v>251</v>
      </c>
      <c r="C8" s="224" t="s">
        <v>278</v>
      </c>
      <c r="D8" s="224">
        <f>SUM(D9:D10)</f>
        <v>9</v>
      </c>
      <c r="E8" s="84">
        <f>SUM(E9:E10)</f>
        <v>6402000</v>
      </c>
    </row>
    <row r="9" spans="1:5" s="3" customFormat="1" ht="21.75" customHeight="1" x14ac:dyDescent="0.25">
      <c r="A9" s="928"/>
      <c r="B9" s="1047"/>
      <c r="C9" s="259" t="s">
        <v>174</v>
      </c>
      <c r="D9" s="260">
        <v>3</v>
      </c>
      <c r="E9" s="261">
        <v>3417000</v>
      </c>
    </row>
    <row r="10" spans="1:5" s="3" customFormat="1" ht="54.75" customHeight="1" x14ac:dyDescent="0.25">
      <c r="A10" s="928"/>
      <c r="B10" s="1047"/>
      <c r="C10" s="262" t="s">
        <v>279</v>
      </c>
      <c r="D10" s="263">
        <v>6</v>
      </c>
      <c r="E10" s="264">
        <v>2985000</v>
      </c>
    </row>
    <row r="11" spans="1:5" ht="21" customHeight="1" x14ac:dyDescent="0.3">
      <c r="A11" s="52"/>
      <c r="B11" s="258"/>
      <c r="C11" s="115"/>
      <c r="D11" s="251"/>
      <c r="E11" s="252"/>
    </row>
    <row r="12" spans="1:5" ht="15" customHeight="1" x14ac:dyDescent="0.25">
      <c r="A12" s="52"/>
      <c r="B12" s="258"/>
      <c r="C12" s="115"/>
      <c r="D12" s="251"/>
      <c r="E12" s="252"/>
    </row>
    <row r="13" spans="1:5" x14ac:dyDescent="0.25">
      <c r="A13" t="s">
        <v>27</v>
      </c>
      <c r="B13" t="s">
        <v>29</v>
      </c>
      <c r="D13" t="s">
        <v>32</v>
      </c>
    </row>
    <row r="14" spans="1:5" x14ac:dyDescent="0.25">
      <c r="A14" t="s">
        <v>223</v>
      </c>
      <c r="B14" t="s">
        <v>30</v>
      </c>
      <c r="D14" t="s">
        <v>33</v>
      </c>
    </row>
  </sheetData>
  <mergeCells count="10">
    <mergeCell ref="A8:A10"/>
    <mergeCell ref="B8:B10"/>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topLeftCell="A28" workbookViewId="0">
      <selection activeCell="A6" sqref="A6:F12"/>
    </sheetView>
  </sheetViews>
  <sheetFormatPr defaultRowHeight="15" x14ac:dyDescent="0.25"/>
  <cols>
    <col min="1" max="1" width="30.85546875" customWidth="1"/>
    <col min="2" max="2" width="42" customWidth="1"/>
    <col min="3" max="3" width="15" customWidth="1"/>
    <col min="4" max="4" width="14.5703125" customWidth="1"/>
    <col min="5" max="5" width="10.85546875" customWidth="1"/>
    <col min="6" max="6" width="17.8554687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240</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9" t="s">
        <v>60</v>
      </c>
    </row>
    <row r="9" spans="1:8" s="12" customFormat="1" ht="20.25" customHeight="1" x14ac:dyDescent="0.25">
      <c r="A9" s="10" t="s">
        <v>14</v>
      </c>
      <c r="B9" s="10"/>
      <c r="C9" s="11"/>
      <c r="D9" s="11"/>
      <c r="E9" s="14"/>
      <c r="F9" s="181">
        <f>F11+F17+F23+F29+F44+F56+F86</f>
        <v>99127474</v>
      </c>
      <c r="G9" s="11"/>
      <c r="H9" s="181">
        <f>H11+H17+H23+H29+H44+H56+H86</f>
        <v>252203400</v>
      </c>
    </row>
    <row r="10" spans="1:8" s="8" customFormat="1" ht="6" customHeight="1" x14ac:dyDescent="0.25">
      <c r="A10" s="7"/>
      <c r="B10" s="7"/>
      <c r="C10" s="7"/>
      <c r="D10" s="7"/>
      <c r="E10" s="7"/>
      <c r="F10" s="93"/>
      <c r="G10" s="7"/>
      <c r="H10" s="7"/>
    </row>
    <row r="11" spans="1:8" s="3" customFormat="1" ht="20.25" customHeight="1" x14ac:dyDescent="0.25">
      <c r="A11" s="869" t="s">
        <v>5</v>
      </c>
      <c r="B11" s="831" t="s">
        <v>50</v>
      </c>
      <c r="C11" s="871" t="s">
        <v>21</v>
      </c>
      <c r="D11" s="70" t="s">
        <v>80</v>
      </c>
      <c r="E11" s="70">
        <f>SUM(E12:E15)</f>
        <v>14591</v>
      </c>
      <c r="F11" s="84">
        <f>SUM(F12:F15)</f>
        <v>87739700</v>
      </c>
      <c r="G11" s="70">
        <f>SUM(G12:G15)</f>
        <v>14990</v>
      </c>
      <c r="H11" s="71">
        <f>SUM(H12:H15)</f>
        <v>224850000</v>
      </c>
    </row>
    <row r="12" spans="1:8" s="3" customFormat="1" ht="21" customHeight="1" x14ac:dyDescent="0.25">
      <c r="A12" s="870"/>
      <c r="B12" s="832"/>
      <c r="C12" s="872"/>
      <c r="D12" s="83" t="s">
        <v>182</v>
      </c>
      <c r="E12" s="30">
        <v>2829</v>
      </c>
      <c r="F12" s="37">
        <v>17542300</v>
      </c>
      <c r="G12" s="4">
        <v>2953</v>
      </c>
      <c r="H12" s="17">
        <v>44295000</v>
      </c>
    </row>
    <row r="13" spans="1:8" s="2" customFormat="1" ht="14.25" customHeight="1" x14ac:dyDescent="0.25">
      <c r="A13" s="870"/>
      <c r="B13" s="832"/>
      <c r="C13" s="872"/>
      <c r="D13" s="83" t="s">
        <v>183</v>
      </c>
      <c r="E13" s="30">
        <v>2622</v>
      </c>
      <c r="F13" s="37">
        <v>11024000</v>
      </c>
      <c r="G13" s="4">
        <v>2673</v>
      </c>
      <c r="H13" s="17">
        <v>40095000</v>
      </c>
    </row>
    <row r="14" spans="1:8" s="2" customFormat="1" ht="14.25" customHeight="1" x14ac:dyDescent="0.25">
      <c r="A14" s="870"/>
      <c r="B14" s="832"/>
      <c r="C14" s="872"/>
      <c r="D14" s="83" t="s">
        <v>184</v>
      </c>
      <c r="E14" s="30">
        <v>7244</v>
      </c>
      <c r="F14" s="37">
        <v>46807000</v>
      </c>
      <c r="G14" s="4">
        <v>7377</v>
      </c>
      <c r="H14" s="17">
        <v>110655000</v>
      </c>
    </row>
    <row r="15" spans="1:8" s="2" customFormat="1" ht="42" customHeight="1" x14ac:dyDescent="0.25">
      <c r="A15" s="873"/>
      <c r="B15" s="832"/>
      <c r="C15" s="875"/>
      <c r="D15" s="195" t="s">
        <v>185</v>
      </c>
      <c r="E15" s="233">
        <v>1896</v>
      </c>
      <c r="F15" s="234">
        <v>12366400</v>
      </c>
      <c r="G15" s="196">
        <v>1987</v>
      </c>
      <c r="H15" s="197">
        <v>29805000</v>
      </c>
    </row>
    <row r="16" spans="1:8" s="8" customFormat="1" ht="6" customHeight="1" x14ac:dyDescent="0.25">
      <c r="A16" s="7"/>
      <c r="B16" s="7"/>
      <c r="C16" s="7"/>
      <c r="D16" s="7"/>
      <c r="E16" s="7"/>
      <c r="F16" s="93"/>
      <c r="G16" s="7"/>
      <c r="H16" s="7"/>
    </row>
    <row r="17" spans="1:8" s="9" customFormat="1" ht="19.5" customHeight="1" x14ac:dyDescent="0.25">
      <c r="A17" s="869" t="s">
        <v>7</v>
      </c>
      <c r="B17" s="831" t="s">
        <v>52</v>
      </c>
      <c r="C17" s="871" t="s">
        <v>53</v>
      </c>
      <c r="D17" s="70" t="s">
        <v>80</v>
      </c>
      <c r="E17" s="70">
        <f>SUM(E18:E21)</f>
        <v>130</v>
      </c>
      <c r="F17" s="84">
        <f>SUM(F18:F21)</f>
        <v>880000</v>
      </c>
      <c r="G17" s="70">
        <f>SUM(G18:G21)</f>
        <v>190</v>
      </c>
      <c r="H17" s="71">
        <f>SUM(H18:H21)</f>
        <v>1050000</v>
      </c>
    </row>
    <row r="18" spans="1:8" s="3" customFormat="1" ht="21" customHeight="1" x14ac:dyDescent="0.25">
      <c r="A18" s="870"/>
      <c r="B18" s="832"/>
      <c r="C18" s="872"/>
      <c r="D18" s="83" t="s">
        <v>182</v>
      </c>
      <c r="E18" s="30">
        <f>50+25</f>
        <v>75</v>
      </c>
      <c r="F18" s="37">
        <f>405000+125000</f>
        <v>530000</v>
      </c>
      <c r="G18" s="4">
        <v>60</v>
      </c>
      <c r="H18" s="17">
        <v>300000</v>
      </c>
    </row>
    <row r="19" spans="1:8" s="2" customFormat="1" ht="14.25" customHeight="1" x14ac:dyDescent="0.25">
      <c r="A19" s="870"/>
      <c r="B19" s="832"/>
      <c r="C19" s="872"/>
      <c r="D19" s="83" t="s">
        <v>183</v>
      </c>
      <c r="E19" s="30">
        <f>40</f>
        <v>40</v>
      </c>
      <c r="F19" s="37">
        <f>200000</f>
        <v>200000</v>
      </c>
      <c r="G19" s="4">
        <v>30</v>
      </c>
      <c r="H19" s="17">
        <v>150000</v>
      </c>
    </row>
    <row r="20" spans="1:8" s="2" customFormat="1" ht="14.25" customHeight="1" x14ac:dyDescent="0.25">
      <c r="A20" s="870"/>
      <c r="B20" s="832"/>
      <c r="C20" s="872"/>
      <c r="D20" s="83" t="s">
        <v>184</v>
      </c>
      <c r="E20" s="30">
        <f>15</f>
        <v>15</v>
      </c>
      <c r="F20" s="37">
        <f>150000</f>
        <v>150000</v>
      </c>
      <c r="G20" s="4">
        <v>50</v>
      </c>
      <c r="H20" s="17">
        <v>300000</v>
      </c>
    </row>
    <row r="21" spans="1:8" s="2" customFormat="1" ht="54" customHeight="1" x14ac:dyDescent="0.25">
      <c r="A21" s="873"/>
      <c r="B21" s="832"/>
      <c r="C21" s="875"/>
      <c r="D21" s="195" t="s">
        <v>185</v>
      </c>
      <c r="E21" s="233"/>
      <c r="F21" s="234"/>
      <c r="G21" s="196">
        <v>50</v>
      </c>
      <c r="H21" s="197">
        <v>300000</v>
      </c>
    </row>
    <row r="22" spans="1:8" s="8" customFormat="1" ht="6" customHeight="1" x14ac:dyDescent="0.25">
      <c r="A22" s="7"/>
      <c r="B22" s="7"/>
      <c r="C22" s="7"/>
      <c r="D22" s="7"/>
      <c r="E22" s="7"/>
      <c r="F22" s="93"/>
      <c r="G22" s="7"/>
      <c r="H22" s="7"/>
    </row>
    <row r="23" spans="1:8" s="9" customFormat="1" ht="18" customHeight="1" x14ac:dyDescent="0.25">
      <c r="A23" s="869" t="s">
        <v>6</v>
      </c>
      <c r="B23" s="867" t="s">
        <v>54</v>
      </c>
      <c r="C23" s="869" t="s">
        <v>20</v>
      </c>
      <c r="D23" s="70" t="s">
        <v>80</v>
      </c>
      <c r="E23" s="70">
        <f>SUM(E24:E27)</f>
        <v>9383</v>
      </c>
      <c r="F23" s="84">
        <f>SUM(F24:F27)</f>
        <v>6326796</v>
      </c>
      <c r="G23" s="70">
        <f>SUM(G24:G27)</f>
        <v>11815</v>
      </c>
      <c r="H23" s="71">
        <f>SUM(H24:H27)</f>
        <v>18431400</v>
      </c>
    </row>
    <row r="24" spans="1:8" s="3" customFormat="1" ht="20.25" customHeight="1" x14ac:dyDescent="0.25">
      <c r="A24" s="870"/>
      <c r="B24" s="868"/>
      <c r="C24" s="870"/>
      <c r="D24" s="83" t="s">
        <v>182</v>
      </c>
      <c r="E24" s="30">
        <v>2047</v>
      </c>
      <c r="F24" s="37">
        <v>3217870</v>
      </c>
      <c r="G24" s="4">
        <v>2457</v>
      </c>
      <c r="H24" s="17">
        <v>3832920</v>
      </c>
    </row>
    <row r="25" spans="1:8" s="2" customFormat="1" ht="14.25" customHeight="1" x14ac:dyDescent="0.25">
      <c r="A25" s="870"/>
      <c r="B25" s="868"/>
      <c r="C25" s="870"/>
      <c r="D25" s="83" t="s">
        <v>183</v>
      </c>
      <c r="E25" s="30">
        <v>801</v>
      </c>
      <c r="F25" s="37">
        <v>645606</v>
      </c>
      <c r="G25" s="4">
        <v>1515</v>
      </c>
      <c r="H25" s="17">
        <v>2363400</v>
      </c>
    </row>
    <row r="26" spans="1:8" s="2" customFormat="1" ht="14.25" customHeight="1" x14ac:dyDescent="0.25">
      <c r="A26" s="870"/>
      <c r="B26" s="868"/>
      <c r="C26" s="870"/>
      <c r="D26" s="83" t="s">
        <v>184</v>
      </c>
      <c r="E26" s="30">
        <v>4968</v>
      </c>
      <c r="F26" s="37" t="s">
        <v>205</v>
      </c>
      <c r="G26" s="4">
        <v>5962</v>
      </c>
      <c r="H26" s="17">
        <v>9300720</v>
      </c>
    </row>
    <row r="27" spans="1:8" s="2" customFormat="1" ht="14.25" customHeight="1" x14ac:dyDescent="0.25">
      <c r="A27" s="873"/>
      <c r="B27" s="874"/>
      <c r="C27" s="873"/>
      <c r="D27" s="83" t="s">
        <v>185</v>
      </c>
      <c r="E27" s="30">
        <v>1567</v>
      </c>
      <c r="F27" s="37">
        <v>2463320</v>
      </c>
      <c r="G27" s="4">
        <v>1881</v>
      </c>
      <c r="H27" s="17">
        <v>2934360</v>
      </c>
    </row>
    <row r="28" spans="1:8" s="8" customFormat="1" ht="6" customHeight="1" x14ac:dyDescent="0.25">
      <c r="A28" s="122"/>
      <c r="B28" s="122"/>
      <c r="C28" s="122"/>
      <c r="D28" s="122"/>
      <c r="E28" s="122"/>
      <c r="F28" s="173"/>
      <c r="G28" s="122"/>
      <c r="H28" s="122"/>
    </row>
    <row r="29" spans="1:8" s="9" customFormat="1" ht="20.25" customHeight="1" x14ac:dyDescent="0.25">
      <c r="A29" s="928" t="s">
        <v>16</v>
      </c>
      <c r="B29" s="928" t="s">
        <v>55</v>
      </c>
      <c r="C29" s="928" t="s">
        <v>19</v>
      </c>
      <c r="D29" s="224" t="s">
        <v>80</v>
      </c>
      <c r="E29" s="224">
        <f>SUM(E30:E33)</f>
        <v>747</v>
      </c>
      <c r="F29" s="231">
        <f>SUM(F30:F33)</f>
        <v>3128000</v>
      </c>
      <c r="G29" s="224">
        <f>SUM(G30:G33)</f>
        <v>1312</v>
      </c>
      <c r="H29" s="232">
        <f>SUM(H30:H33)</f>
        <v>7872000</v>
      </c>
    </row>
    <row r="30" spans="1:8" s="3" customFormat="1" ht="21" customHeight="1" x14ac:dyDescent="0.25">
      <c r="A30" s="928"/>
      <c r="B30" s="928"/>
      <c r="C30" s="928"/>
      <c r="D30" s="83" t="s">
        <v>182</v>
      </c>
      <c r="E30" s="30">
        <v>176</v>
      </c>
      <c r="F30" s="37">
        <v>744500</v>
      </c>
      <c r="G30" s="4">
        <v>331</v>
      </c>
      <c r="H30" s="17">
        <v>1986000</v>
      </c>
    </row>
    <row r="31" spans="1:8" s="2" customFormat="1" ht="14.25" customHeight="1" x14ac:dyDescent="0.25">
      <c r="A31" s="928"/>
      <c r="B31" s="928"/>
      <c r="C31" s="928"/>
      <c r="D31" s="83" t="s">
        <v>183</v>
      </c>
      <c r="E31" s="30">
        <v>96</v>
      </c>
      <c r="F31" s="37">
        <v>406500</v>
      </c>
      <c r="G31" s="4">
        <v>256</v>
      </c>
      <c r="H31" s="17">
        <v>1536000</v>
      </c>
    </row>
    <row r="32" spans="1:8" s="2" customFormat="1" ht="14.25" customHeight="1" x14ac:dyDescent="0.25">
      <c r="A32" s="928"/>
      <c r="B32" s="928"/>
      <c r="C32" s="928"/>
      <c r="D32" s="83" t="s">
        <v>184</v>
      </c>
      <c r="E32" s="30">
        <v>348</v>
      </c>
      <c r="F32" s="37">
        <v>1430500</v>
      </c>
      <c r="G32" s="4">
        <v>438</v>
      </c>
      <c r="H32" s="17">
        <v>2628000</v>
      </c>
    </row>
    <row r="33" spans="1:8" s="2" customFormat="1" ht="14.25" customHeight="1" x14ac:dyDescent="0.25">
      <c r="A33" s="928"/>
      <c r="B33" s="928"/>
      <c r="C33" s="928"/>
      <c r="D33" s="83" t="s">
        <v>185</v>
      </c>
      <c r="E33" s="30">
        <v>127</v>
      </c>
      <c r="F33" s="37">
        <v>546500</v>
      </c>
      <c r="G33" s="4">
        <v>287</v>
      </c>
      <c r="H33" s="17">
        <v>1722000</v>
      </c>
    </row>
    <row r="34" spans="1:8" s="123" customFormat="1" ht="6" customHeight="1" x14ac:dyDescent="0.25">
      <c r="F34" s="174"/>
    </row>
    <row r="35" spans="1:8" s="123" customFormat="1" ht="6" customHeight="1" x14ac:dyDescent="0.25">
      <c r="F35" s="174"/>
    </row>
    <row r="36" spans="1:8" s="123" customFormat="1" ht="6" customHeight="1" x14ac:dyDescent="0.25">
      <c r="F36" s="174"/>
    </row>
    <row r="37" spans="1:8" s="123" customFormat="1" ht="6" customHeight="1" x14ac:dyDescent="0.25">
      <c r="F37" s="174"/>
    </row>
    <row r="38" spans="1:8" s="123" customFormat="1" ht="6" customHeight="1" x14ac:dyDescent="0.25">
      <c r="F38" s="174"/>
    </row>
    <row r="39" spans="1:8" s="123" customFormat="1" ht="6" customHeight="1" x14ac:dyDescent="0.25">
      <c r="F39" s="174"/>
    </row>
    <row r="40" spans="1:8" s="123" customFormat="1" ht="6" customHeight="1" x14ac:dyDescent="0.25">
      <c r="F40" s="174"/>
    </row>
    <row r="41" spans="1:8" s="123" customFormat="1" ht="6" customHeight="1" x14ac:dyDescent="0.25">
      <c r="F41" s="174"/>
    </row>
    <row r="42" spans="1:8" s="123" customFormat="1" ht="6" customHeight="1" x14ac:dyDescent="0.25">
      <c r="F42" s="174"/>
    </row>
    <row r="43" spans="1:8" s="123" customFormat="1" ht="6" customHeight="1" x14ac:dyDescent="0.25">
      <c r="F43" s="174"/>
    </row>
    <row r="44" spans="1:8" s="52" customFormat="1" ht="16.5" customHeight="1" x14ac:dyDescent="0.25">
      <c r="A44" s="869" t="s">
        <v>17</v>
      </c>
      <c r="B44" s="923" t="s">
        <v>56</v>
      </c>
      <c r="C44" s="869" t="s">
        <v>18</v>
      </c>
      <c r="D44" s="255" t="s">
        <v>80</v>
      </c>
      <c r="E44" s="255">
        <f>SUM(E45:E46)</f>
        <v>11</v>
      </c>
      <c r="F44" s="256">
        <f>SUM(F45:F46)</f>
        <v>17250</v>
      </c>
      <c r="G44" s="255">
        <f>SUM(G45:G46)</f>
        <v>0</v>
      </c>
      <c r="H44" s="257">
        <f>SUM(H45:H46)</f>
        <v>0</v>
      </c>
    </row>
    <row r="45" spans="1:8" s="3" customFormat="1" ht="17.25" customHeight="1" x14ac:dyDescent="0.25">
      <c r="A45" s="870"/>
      <c r="B45" s="924"/>
      <c r="C45" s="870"/>
      <c r="D45" s="83" t="s">
        <v>182</v>
      </c>
      <c r="E45" s="30">
        <f>1</f>
        <v>1</v>
      </c>
      <c r="F45" s="37">
        <f>1000</f>
        <v>1000</v>
      </c>
      <c r="G45" s="4"/>
      <c r="H45" s="17"/>
    </row>
    <row r="46" spans="1:8" s="2" customFormat="1" ht="28.5" customHeight="1" x14ac:dyDescent="0.25">
      <c r="A46" s="873"/>
      <c r="B46" s="924"/>
      <c r="C46" s="873"/>
      <c r="D46" s="83" t="s">
        <v>184</v>
      </c>
      <c r="E46" s="30">
        <f>1+3+4+1+1</f>
        <v>10</v>
      </c>
      <c r="F46" s="37">
        <f>600+2650+8500+3000+1500</f>
        <v>16250</v>
      </c>
      <c r="G46" s="4"/>
      <c r="H46" s="17"/>
    </row>
    <row r="47" spans="1:8" s="8" customFormat="1" ht="6" customHeight="1" x14ac:dyDescent="0.3">
      <c r="A47" s="7"/>
      <c r="B47" s="7"/>
      <c r="C47" s="7"/>
      <c r="D47" s="7"/>
      <c r="E47" s="7"/>
      <c r="F47" s="93"/>
      <c r="G47" s="7"/>
      <c r="H47" s="7"/>
    </row>
    <row r="48" spans="1:8" s="9" customFormat="1" ht="34.5" hidden="1" customHeight="1" x14ac:dyDescent="0.25">
      <c r="A48" s="6" t="s">
        <v>22</v>
      </c>
      <c r="B48" s="831" t="s">
        <v>57</v>
      </c>
      <c r="C48" s="6" t="s">
        <v>37</v>
      </c>
      <c r="D48" s="6"/>
      <c r="E48" s="42">
        <f>SUM(E49:E54)</f>
        <v>227</v>
      </c>
      <c r="F48" s="94">
        <f>SUM(F49:F54)</f>
        <v>562960</v>
      </c>
      <c r="G48" s="6"/>
      <c r="H48" s="6"/>
    </row>
    <row r="49" spans="1:9" s="1" customFormat="1" ht="15" hidden="1" customHeight="1" x14ac:dyDescent="0.25">
      <c r="A49" s="972" t="s">
        <v>35</v>
      </c>
      <c r="B49" s="832"/>
      <c r="C49" s="5"/>
      <c r="D49" s="4" t="s">
        <v>42</v>
      </c>
      <c r="E49" s="44"/>
      <c r="F49" s="41"/>
      <c r="G49" s="5"/>
      <c r="H49" s="4" t="s">
        <v>8</v>
      </c>
    </row>
    <row r="50" spans="1:9" s="1" customFormat="1" ht="15" hidden="1" customHeight="1" x14ac:dyDescent="0.25">
      <c r="A50" s="918"/>
      <c r="B50" s="833"/>
      <c r="C50" s="5"/>
      <c r="D50" s="4" t="s">
        <v>43</v>
      </c>
      <c r="E50" s="44"/>
      <c r="F50" s="38"/>
      <c r="G50" s="5"/>
      <c r="H50" s="4" t="s">
        <v>9</v>
      </c>
    </row>
    <row r="51" spans="1:9" s="1" customFormat="1" ht="15" hidden="1" customHeight="1" x14ac:dyDescent="0.25">
      <c r="A51" s="918"/>
      <c r="B51" s="211"/>
      <c r="C51" s="5"/>
      <c r="D51" s="4" t="s">
        <v>44</v>
      </c>
      <c r="E51" s="45">
        <v>227</v>
      </c>
      <c r="F51" s="39">
        <v>562960</v>
      </c>
      <c r="G51" s="5"/>
      <c r="H51" s="4" t="s">
        <v>10</v>
      </c>
    </row>
    <row r="52" spans="1:9" s="1" customFormat="1" ht="15" hidden="1" customHeight="1" x14ac:dyDescent="0.25">
      <c r="A52" s="918"/>
      <c r="B52" s="211"/>
      <c r="C52" s="5"/>
      <c r="D52" s="4" t="s">
        <v>45</v>
      </c>
      <c r="E52" s="44"/>
      <c r="F52" s="39"/>
      <c r="G52" s="5"/>
      <c r="H52" s="4" t="s">
        <v>11</v>
      </c>
    </row>
    <row r="53" spans="1:9" s="1" customFormat="1" ht="15" hidden="1" customHeight="1" x14ac:dyDescent="0.25">
      <c r="A53" s="918"/>
      <c r="B53" s="211"/>
      <c r="C53" s="5"/>
      <c r="D53" s="4" t="s">
        <v>46</v>
      </c>
      <c r="E53" s="44"/>
      <c r="F53" s="39"/>
      <c r="G53" s="5"/>
      <c r="H53" s="4" t="s">
        <v>12</v>
      </c>
    </row>
    <row r="54" spans="1:9" s="1" customFormat="1" ht="15" hidden="1" customHeight="1" x14ac:dyDescent="0.25">
      <c r="A54" s="918"/>
      <c r="B54" s="211"/>
      <c r="C54" s="5"/>
      <c r="D54" s="4" t="s">
        <v>47</v>
      </c>
      <c r="E54" s="44"/>
      <c r="F54" s="40"/>
      <c r="G54" s="5"/>
      <c r="H54" s="4" t="s">
        <v>13</v>
      </c>
    </row>
    <row r="55" spans="1:9" s="8" customFormat="1" ht="8.25" hidden="1" customHeight="1" x14ac:dyDescent="0.25">
      <c r="A55" s="7"/>
      <c r="B55" s="7"/>
      <c r="C55" s="7"/>
      <c r="D55" s="7"/>
      <c r="E55" s="7"/>
      <c r="F55" s="93"/>
      <c r="G55" s="7"/>
      <c r="H55" s="7"/>
    </row>
    <row r="56" spans="1:9" s="9" customFormat="1" ht="18" customHeight="1" x14ac:dyDescent="0.25">
      <c r="A56" s="869" t="s">
        <v>23</v>
      </c>
      <c r="B56" s="831" t="s">
        <v>58</v>
      </c>
      <c r="C56" s="869" t="s">
        <v>24</v>
      </c>
      <c r="D56" s="70" t="s">
        <v>80</v>
      </c>
      <c r="E56" s="70">
        <f>SUM(E57:E60)</f>
        <v>3100</v>
      </c>
      <c r="F56" s="84">
        <f>SUM(F57:F60)</f>
        <v>935728</v>
      </c>
      <c r="G56" s="70">
        <f>SUM(G57:G60)</f>
        <v>0</v>
      </c>
      <c r="H56" s="71">
        <f>SUM(H57:H60)</f>
        <v>0</v>
      </c>
      <c r="I56" s="66"/>
    </row>
    <row r="57" spans="1:9" s="9" customFormat="1" ht="15.75" customHeight="1" x14ac:dyDescent="0.25">
      <c r="A57" s="870"/>
      <c r="B57" s="832"/>
      <c r="C57" s="870"/>
      <c r="D57" s="83" t="s">
        <v>182</v>
      </c>
      <c r="E57" s="30">
        <v>200</v>
      </c>
      <c r="F57" s="37">
        <v>50000</v>
      </c>
      <c r="G57" s="4"/>
      <c r="H57" s="17"/>
      <c r="I57" s="66"/>
    </row>
    <row r="58" spans="1:9" s="3" customFormat="1" ht="16.5" customHeight="1" x14ac:dyDescent="0.25">
      <c r="A58" s="870"/>
      <c r="B58" s="832"/>
      <c r="C58" s="870"/>
      <c r="D58" s="83" t="s">
        <v>183</v>
      </c>
      <c r="E58" s="30"/>
      <c r="F58" s="37"/>
      <c r="G58" s="4"/>
      <c r="H58" s="17"/>
    </row>
    <row r="59" spans="1:9" s="2" customFormat="1" ht="14.25" customHeight="1" x14ac:dyDescent="0.25">
      <c r="A59" s="870"/>
      <c r="B59" s="832"/>
      <c r="C59" s="870"/>
      <c r="D59" s="83" t="s">
        <v>184</v>
      </c>
      <c r="E59" s="30">
        <f>2400</f>
        <v>2400</v>
      </c>
      <c r="F59" s="37">
        <f>760728</f>
        <v>760728</v>
      </c>
      <c r="G59" s="4"/>
      <c r="H59" s="17"/>
    </row>
    <row r="60" spans="1:9" s="2" customFormat="1" ht="14.25" customHeight="1" x14ac:dyDescent="0.25">
      <c r="A60" s="870"/>
      <c r="B60" s="832"/>
      <c r="C60" s="870"/>
      <c r="D60" s="83" t="s">
        <v>185</v>
      </c>
      <c r="E60" s="30">
        <f>500</f>
        <v>500</v>
      </c>
      <c r="F60" s="37">
        <f>125000</f>
        <v>125000</v>
      </c>
      <c r="G60" s="4"/>
      <c r="H60" s="17"/>
    </row>
    <row r="61" spans="1:9" s="2" customFormat="1" ht="34.5" customHeight="1" x14ac:dyDescent="0.25">
      <c r="A61" s="873"/>
      <c r="B61" s="832"/>
      <c r="C61" s="873"/>
      <c r="D61" s="246" t="s">
        <v>220</v>
      </c>
      <c r="E61" s="247">
        <v>1000</v>
      </c>
      <c r="F61" s="248">
        <v>250000</v>
      </c>
      <c r="G61" s="222"/>
      <c r="H61" s="249"/>
    </row>
    <row r="62" spans="1:9" s="8" customFormat="1" ht="6" customHeight="1" x14ac:dyDescent="0.25">
      <c r="A62" s="7"/>
      <c r="B62" s="7"/>
      <c r="C62" s="7"/>
      <c r="D62" s="7"/>
      <c r="E62" s="7"/>
      <c r="F62" s="93"/>
      <c r="G62" s="7"/>
      <c r="H62" s="7"/>
    </row>
    <row r="63" spans="1:9" s="9" customFormat="1" ht="30" hidden="1" customHeight="1" x14ac:dyDescent="0.25">
      <c r="A63" s="214" t="s">
        <v>63</v>
      </c>
      <c r="B63" s="831" t="s">
        <v>64</v>
      </c>
      <c r="C63" s="6" t="s">
        <v>65</v>
      </c>
      <c r="D63" s="155" t="s">
        <v>81</v>
      </c>
      <c r="E63" s="161" t="e">
        <f>SUM(#REF!)</f>
        <v>#REF!</v>
      </c>
      <c r="F63" s="158" t="e">
        <f>SUM(#REF!)</f>
        <v>#REF!</v>
      </c>
      <c r="G63" s="63" t="e">
        <f>#REF!+#REF!</f>
        <v>#REF!</v>
      </c>
      <c r="H63" s="78" t="e">
        <f>#REF!+#REF!</f>
        <v>#REF!</v>
      </c>
    </row>
    <row r="64" spans="1:9" s="3" customFormat="1" ht="27.75" hidden="1" customHeight="1" x14ac:dyDescent="0.25">
      <c r="A64" s="6"/>
      <c r="B64" s="879"/>
      <c r="C64" s="6"/>
      <c r="D64" s="70" t="s">
        <v>79</v>
      </c>
      <c r="E64" s="70">
        <f>SUM(E65:E74)</f>
        <v>0</v>
      </c>
      <c r="F64" s="84">
        <f>SUM(F65:F74)</f>
        <v>0</v>
      </c>
      <c r="G64" s="70">
        <f>SUM(G65:G74)</f>
        <v>0</v>
      </c>
      <c r="H64" s="71">
        <f>SUM(H65:H74)</f>
        <v>0</v>
      </c>
    </row>
    <row r="65" spans="1:8" s="2" customFormat="1" ht="14.25" hidden="1" customHeight="1" x14ac:dyDescent="0.25">
      <c r="A65" s="18"/>
      <c r="B65" s="879"/>
      <c r="C65" s="6"/>
      <c r="D65" s="83" t="s">
        <v>172</v>
      </c>
      <c r="E65" s="30"/>
      <c r="F65" s="37"/>
      <c r="G65" s="4"/>
      <c r="H65" s="17"/>
    </row>
    <row r="66" spans="1:8" s="2" customFormat="1" ht="14.25" hidden="1" customHeight="1" x14ac:dyDescent="0.25">
      <c r="A66" s="972"/>
      <c r="B66" s="879"/>
      <c r="C66" s="6"/>
      <c r="D66" s="83" t="s">
        <v>173</v>
      </c>
      <c r="E66" s="30"/>
      <c r="F66" s="37"/>
      <c r="G66" s="4"/>
      <c r="H66" s="17"/>
    </row>
    <row r="67" spans="1:8" s="2" customFormat="1" ht="14.25" hidden="1" customHeight="1" x14ac:dyDescent="0.25">
      <c r="A67" s="918"/>
      <c r="B67" s="879"/>
      <c r="C67" s="6"/>
      <c r="D67" s="83" t="s">
        <v>174</v>
      </c>
      <c r="E67" s="30"/>
      <c r="F67" s="37"/>
      <c r="G67" s="4"/>
      <c r="H67" s="17"/>
    </row>
    <row r="68" spans="1:8" s="2" customFormat="1" ht="14.25" hidden="1" customHeight="1" x14ac:dyDescent="0.25">
      <c r="A68" s="918"/>
      <c r="B68" s="879"/>
      <c r="C68" s="6"/>
      <c r="D68" s="83" t="s">
        <v>175</v>
      </c>
      <c r="E68" s="30"/>
      <c r="F68" s="37"/>
      <c r="G68" s="4"/>
      <c r="H68" s="17"/>
    </row>
    <row r="69" spans="1:8" s="2" customFormat="1" ht="14.25" hidden="1" customHeight="1" x14ac:dyDescent="0.25">
      <c r="A69" s="918"/>
      <c r="B69" s="879"/>
      <c r="C69" s="6"/>
      <c r="D69" s="83" t="s">
        <v>176</v>
      </c>
      <c r="E69" s="30"/>
      <c r="F69" s="37"/>
      <c r="G69" s="4"/>
      <c r="H69" s="17"/>
    </row>
    <row r="70" spans="1:8" s="2" customFormat="1" ht="14.25" hidden="1" customHeight="1" x14ac:dyDescent="0.25">
      <c r="A70" s="918"/>
      <c r="B70" s="879"/>
      <c r="C70" s="6"/>
      <c r="D70" s="83" t="s">
        <v>177</v>
      </c>
      <c r="E70" s="30"/>
      <c r="F70" s="37"/>
      <c r="G70" s="4"/>
      <c r="H70" s="17"/>
    </row>
    <row r="71" spans="1:8" s="2" customFormat="1" ht="14.25" hidden="1" customHeight="1" x14ac:dyDescent="0.25">
      <c r="A71" s="918"/>
      <c r="B71" s="879"/>
      <c r="C71" s="6"/>
      <c r="D71" s="83" t="s">
        <v>178</v>
      </c>
      <c r="E71" s="30"/>
      <c r="F71" s="37"/>
      <c r="G71" s="4"/>
      <c r="H71" s="17"/>
    </row>
    <row r="72" spans="1:8" s="2" customFormat="1" ht="14.25" hidden="1" customHeight="1" x14ac:dyDescent="0.25">
      <c r="A72" s="918"/>
      <c r="B72" s="879"/>
      <c r="C72" s="6"/>
      <c r="D72" s="83" t="s">
        <v>179</v>
      </c>
      <c r="E72" s="30"/>
      <c r="F72" s="37"/>
      <c r="G72" s="4"/>
      <c r="H72" s="17"/>
    </row>
    <row r="73" spans="1:8" s="2" customFormat="1" ht="14.25" hidden="1" customHeight="1" x14ac:dyDescent="0.25">
      <c r="A73" s="918"/>
      <c r="B73" s="879"/>
      <c r="C73" s="6"/>
      <c r="D73" s="83" t="s">
        <v>180</v>
      </c>
      <c r="E73" s="30"/>
      <c r="F73" s="37"/>
      <c r="G73" s="4"/>
      <c r="H73" s="17"/>
    </row>
    <row r="74" spans="1:8" s="2" customFormat="1" ht="14.25" hidden="1" customHeight="1" x14ac:dyDescent="0.25">
      <c r="A74" s="918"/>
      <c r="B74" s="879"/>
      <c r="C74" s="6"/>
      <c r="D74" s="83" t="s">
        <v>181</v>
      </c>
      <c r="E74" s="30"/>
      <c r="F74" s="37"/>
      <c r="G74" s="4"/>
      <c r="H74" s="17"/>
    </row>
    <row r="75" spans="1:8" s="2" customFormat="1" ht="24" hidden="1" customHeight="1" x14ac:dyDescent="0.25">
      <c r="A75" s="211"/>
      <c r="B75" s="879"/>
      <c r="C75" s="6"/>
      <c r="D75" s="70" t="s">
        <v>80</v>
      </c>
      <c r="E75" s="70">
        <f>SUM(E76:E79)</f>
        <v>0</v>
      </c>
      <c r="F75" s="84">
        <f>SUM(F76:F79)</f>
        <v>0</v>
      </c>
      <c r="G75" s="70">
        <f>SUM(G76:G79)</f>
        <v>0</v>
      </c>
      <c r="H75" s="71">
        <f>SUM(H76:H79)</f>
        <v>0</v>
      </c>
    </row>
    <row r="76" spans="1:8" s="2" customFormat="1" ht="14.25" hidden="1" customHeight="1" x14ac:dyDescent="0.25">
      <c r="A76" s="211"/>
      <c r="B76" s="879"/>
      <c r="C76" s="6"/>
      <c r="D76" s="83" t="s">
        <v>182</v>
      </c>
      <c r="E76" s="30"/>
      <c r="F76" s="37"/>
      <c r="G76" s="4"/>
      <c r="H76" s="17"/>
    </row>
    <row r="77" spans="1:8" s="2" customFormat="1" ht="14.25" hidden="1" customHeight="1" x14ac:dyDescent="0.25">
      <c r="A77" s="211"/>
      <c r="B77" s="879"/>
      <c r="C77" s="6"/>
      <c r="D77" s="83" t="s">
        <v>183</v>
      </c>
      <c r="E77" s="30"/>
      <c r="F77" s="37"/>
      <c r="G77" s="4"/>
      <c r="H77" s="17"/>
    </row>
    <row r="78" spans="1:8" s="2" customFormat="1" ht="14.25" hidden="1" customHeight="1" x14ac:dyDescent="0.25">
      <c r="A78" s="211"/>
      <c r="B78" s="879"/>
      <c r="C78" s="6"/>
      <c r="D78" s="83" t="s">
        <v>184</v>
      </c>
      <c r="E78" s="30"/>
      <c r="F78" s="37"/>
      <c r="G78" s="4"/>
      <c r="H78" s="17"/>
    </row>
    <row r="79" spans="1:8" s="2" customFormat="1" ht="14.25" hidden="1" customHeight="1" x14ac:dyDescent="0.25">
      <c r="A79" s="211"/>
      <c r="B79" s="879"/>
      <c r="C79" s="6"/>
      <c r="D79" s="83" t="s">
        <v>185</v>
      </c>
      <c r="E79" s="30"/>
      <c r="F79" s="37"/>
      <c r="G79" s="4"/>
      <c r="H79" s="17"/>
    </row>
    <row r="80" spans="1:8" s="2" customFormat="1" ht="24" hidden="1" customHeight="1" x14ac:dyDescent="0.25">
      <c r="A80" s="211"/>
      <c r="B80" s="879"/>
      <c r="C80" s="6"/>
      <c r="D80" s="70" t="s">
        <v>97</v>
      </c>
      <c r="E80" s="70">
        <f>SUM(E81:E84)</f>
        <v>0</v>
      </c>
      <c r="F80" s="84">
        <f>SUM(F81:F84)</f>
        <v>0</v>
      </c>
      <c r="G80" s="70">
        <f>SUM(G81:G84)</f>
        <v>0</v>
      </c>
      <c r="H80" s="71">
        <f>SUM(H81:H84)</f>
        <v>0</v>
      </c>
    </row>
    <row r="81" spans="1:9" s="2" customFormat="1" ht="14.25" hidden="1" customHeight="1" x14ac:dyDescent="0.25">
      <c r="A81" s="211"/>
      <c r="B81" s="879"/>
      <c r="C81" s="6"/>
      <c r="D81" s="83" t="s">
        <v>186</v>
      </c>
      <c r="E81" s="30"/>
      <c r="F81" s="37"/>
      <c r="G81" s="4"/>
      <c r="H81" s="17"/>
    </row>
    <row r="82" spans="1:9" s="2" customFormat="1" ht="14.25" hidden="1" customHeight="1" x14ac:dyDescent="0.25">
      <c r="A82" s="211"/>
      <c r="B82" s="879"/>
      <c r="C82" s="6"/>
      <c r="D82" s="83" t="s">
        <v>187</v>
      </c>
      <c r="E82" s="30"/>
      <c r="F82" s="37"/>
      <c r="G82" s="4"/>
      <c r="H82" s="17"/>
    </row>
    <row r="83" spans="1:9" s="2" customFormat="1" ht="14.25" hidden="1" customHeight="1" x14ac:dyDescent="0.25">
      <c r="A83" s="211"/>
      <c r="B83" s="879"/>
      <c r="C83" s="6"/>
      <c r="D83" s="83" t="s">
        <v>188</v>
      </c>
      <c r="E83" s="30"/>
      <c r="F83" s="37"/>
      <c r="G83" s="4"/>
      <c r="H83" s="17"/>
    </row>
    <row r="84" spans="1:9" s="2" customFormat="1" ht="14.25" hidden="1" customHeight="1" x14ac:dyDescent="0.25">
      <c r="A84" s="211"/>
      <c r="B84" s="879"/>
      <c r="C84" s="6"/>
      <c r="D84" s="83" t="s">
        <v>189</v>
      </c>
      <c r="E84" s="30"/>
      <c r="F84" s="37"/>
      <c r="G84" s="4"/>
      <c r="H84" s="17"/>
    </row>
    <row r="85" spans="1:9" s="8" customFormat="1" ht="6" hidden="1" customHeight="1" x14ac:dyDescent="0.25">
      <c r="A85" s="7"/>
      <c r="B85" s="7"/>
      <c r="C85" s="7"/>
      <c r="D85" s="7"/>
      <c r="E85" s="7"/>
      <c r="F85" s="93"/>
      <c r="G85" s="7"/>
      <c r="H85" s="7"/>
    </row>
    <row r="86" spans="1:9" s="9" customFormat="1" ht="30" customHeight="1" x14ac:dyDescent="0.25">
      <c r="A86" s="869" t="s">
        <v>67</v>
      </c>
      <c r="B86" s="831" t="s">
        <v>68</v>
      </c>
      <c r="C86" s="869" t="s">
        <v>65</v>
      </c>
      <c r="D86" s="70" t="s">
        <v>80</v>
      </c>
      <c r="E86" s="70">
        <f>SUM(E87:E87)</f>
        <v>400</v>
      </c>
      <c r="F86" s="84">
        <f>SUM(F87:F87)</f>
        <v>100000</v>
      </c>
      <c r="G86" s="70">
        <f>SUM(G87:G87)</f>
        <v>0</v>
      </c>
      <c r="H86" s="71">
        <f>SUM(H87:H87)</f>
        <v>0</v>
      </c>
    </row>
    <row r="87" spans="1:9" s="3" customFormat="1" ht="89.25" customHeight="1" x14ac:dyDescent="0.25">
      <c r="A87" s="873"/>
      <c r="B87" s="832"/>
      <c r="C87" s="873"/>
      <c r="D87" s="195" t="s">
        <v>182</v>
      </c>
      <c r="E87" s="233">
        <f>400</f>
        <v>400</v>
      </c>
      <c r="F87" s="234">
        <f>100000</f>
        <v>100000</v>
      </c>
      <c r="G87" s="196"/>
      <c r="H87" s="197"/>
      <c r="I87" s="254"/>
    </row>
    <row r="88" spans="1:9" s="8" customFormat="1" ht="8.25" customHeight="1" x14ac:dyDescent="0.25">
      <c r="A88" s="7"/>
      <c r="B88" s="7"/>
      <c r="C88" s="7"/>
      <c r="D88" s="7"/>
      <c r="E88" s="7"/>
      <c r="F88" s="93"/>
      <c r="G88" s="7"/>
      <c r="H88" s="7"/>
    </row>
    <row r="89" spans="1:9" x14ac:dyDescent="0.25">
      <c r="A89" t="s">
        <v>26</v>
      </c>
      <c r="B89" t="s">
        <v>28</v>
      </c>
      <c r="D89" t="s">
        <v>31</v>
      </c>
      <c r="F89"/>
    </row>
    <row r="90" spans="1:9" x14ac:dyDescent="0.25">
      <c r="F90"/>
    </row>
    <row r="91" spans="1:9" x14ac:dyDescent="0.25">
      <c r="A91" t="s">
        <v>27</v>
      </c>
      <c r="B91" t="s">
        <v>29</v>
      </c>
      <c r="D91" t="s">
        <v>32</v>
      </c>
      <c r="F91"/>
    </row>
    <row r="92" spans="1:9" x14ac:dyDescent="0.25">
      <c r="A92" t="s">
        <v>223</v>
      </c>
      <c r="B92" t="s">
        <v>30</v>
      </c>
      <c r="D92" t="s">
        <v>33</v>
      </c>
      <c r="F92"/>
    </row>
  </sheetData>
  <mergeCells count="36">
    <mergeCell ref="A86:A87"/>
    <mergeCell ref="C86:C87"/>
    <mergeCell ref="B63:B84"/>
    <mergeCell ref="A66:A74"/>
    <mergeCell ref="B86:B87"/>
    <mergeCell ref="A17:A21"/>
    <mergeCell ref="C17:C21"/>
    <mergeCell ref="A23:A27"/>
    <mergeCell ref="B17:B21"/>
    <mergeCell ref="B23:B27"/>
    <mergeCell ref="C23:C27"/>
    <mergeCell ref="C56:C61"/>
    <mergeCell ref="B29:B33"/>
    <mergeCell ref="C29:C33"/>
    <mergeCell ref="B44:B46"/>
    <mergeCell ref="A44:A46"/>
    <mergeCell ref="C44:C46"/>
    <mergeCell ref="A29:A33"/>
    <mergeCell ref="B48:B50"/>
    <mergeCell ref="A49:A54"/>
    <mergeCell ref="B56:B61"/>
    <mergeCell ref="A56:A61"/>
    <mergeCell ref="G7:H7"/>
    <mergeCell ref="B11:B15"/>
    <mergeCell ref="A1:H1"/>
    <mergeCell ref="A2:H2"/>
    <mergeCell ref="A4:H4"/>
    <mergeCell ref="A5:H5"/>
    <mergeCell ref="A7:A8"/>
    <mergeCell ref="B7:B8"/>
    <mergeCell ref="C7:C8"/>
    <mergeCell ref="D7:D8"/>
    <mergeCell ref="E7:E8"/>
    <mergeCell ref="F7:F8"/>
    <mergeCell ref="A11:A15"/>
    <mergeCell ref="C11:C15"/>
  </mergeCells>
  <printOptions horizontalCentered="1"/>
  <pageMargins left="0.52" right="0.66" top="0.68" bottom="0.69" header="0.3" footer="0.4"/>
  <pageSetup paperSize="9" scale="80" orientation="landscape" verticalDpi="300" r:id="rId1"/>
  <headerFooter>
    <oddFooter>&amp;L2nd District of Tarlac&amp;CPage &amp;P of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282</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928" t="s">
        <v>252</v>
      </c>
      <c r="B8" s="1047" t="s">
        <v>251</v>
      </c>
      <c r="C8" s="224" t="s">
        <v>80</v>
      </c>
      <c r="D8" s="224">
        <f>SUM(D9:D11)</f>
        <v>8</v>
      </c>
      <c r="E8" s="84">
        <f>SUM(E9:E11)</f>
        <v>10295000</v>
      </c>
    </row>
    <row r="9" spans="1:5" s="3" customFormat="1" ht="21.75" customHeight="1" x14ac:dyDescent="0.25">
      <c r="A9" s="928"/>
      <c r="B9" s="1047"/>
      <c r="C9" s="259" t="s">
        <v>280</v>
      </c>
      <c r="D9" s="260">
        <v>1</v>
      </c>
      <c r="E9" s="261">
        <v>2550000</v>
      </c>
    </row>
    <row r="10" spans="1:5" s="3" customFormat="1" ht="21.75" customHeight="1" x14ac:dyDescent="0.25">
      <c r="A10" s="928"/>
      <c r="B10" s="1047"/>
      <c r="C10" s="262" t="s">
        <v>281</v>
      </c>
      <c r="D10" s="263">
        <v>4</v>
      </c>
      <c r="E10" s="264">
        <v>3995000</v>
      </c>
    </row>
    <row r="11" spans="1:5" s="3" customFormat="1" ht="54.75" customHeight="1" x14ac:dyDescent="0.25">
      <c r="A11" s="928"/>
      <c r="B11" s="1047"/>
      <c r="C11" s="262" t="s">
        <v>185</v>
      </c>
      <c r="D11" s="263">
        <v>3</v>
      </c>
      <c r="E11" s="264">
        <v>3750000</v>
      </c>
    </row>
    <row r="12" spans="1:5" ht="21" customHeight="1" x14ac:dyDescent="0.25">
      <c r="A12" s="52"/>
      <c r="B12" s="258"/>
      <c r="C12" s="115"/>
      <c r="D12" s="251"/>
      <c r="E12" s="252"/>
    </row>
    <row r="13" spans="1:5" ht="15" customHeight="1" x14ac:dyDescent="0.25">
      <c r="A13" s="52"/>
      <c r="B13" s="258"/>
      <c r="C13" s="115"/>
      <c r="D13" s="251"/>
      <c r="E13" s="252"/>
    </row>
    <row r="14" spans="1:5" x14ac:dyDescent="0.25">
      <c r="A14" t="s">
        <v>27</v>
      </c>
      <c r="B14" t="s">
        <v>29</v>
      </c>
      <c r="D14" t="s">
        <v>32</v>
      </c>
    </row>
    <row r="15" spans="1:5" x14ac:dyDescent="0.25">
      <c r="A15" t="s">
        <v>223</v>
      </c>
      <c r="B15" t="s">
        <v>30</v>
      </c>
      <c r="D15" t="s">
        <v>33</v>
      </c>
    </row>
  </sheetData>
  <mergeCells count="10">
    <mergeCell ref="A8:A11"/>
    <mergeCell ref="B8:B11"/>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25" workbookViewId="0">
      <selection activeCell="A6" sqref="A6:F12"/>
    </sheetView>
  </sheetViews>
  <sheetFormatPr defaultRowHeight="15" x14ac:dyDescent="0.25"/>
  <cols>
    <col min="1" max="1" width="30.85546875" customWidth="1"/>
    <col min="2" max="2" width="42" customWidth="1"/>
    <col min="3" max="3" width="15" customWidth="1"/>
    <col min="4" max="4" width="14.5703125" customWidth="1"/>
    <col min="5" max="5" width="10.85546875" customWidth="1"/>
    <col min="6" max="6" width="17.8554687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241</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60"/>
      <c r="B8" s="925"/>
      <c r="C8" s="860"/>
      <c r="D8" s="922"/>
      <c r="E8" s="922"/>
      <c r="F8" s="1059"/>
      <c r="G8" s="217" t="s">
        <v>48</v>
      </c>
      <c r="H8" s="217" t="s">
        <v>60</v>
      </c>
    </row>
    <row r="9" spans="1:8" s="12" customFormat="1" ht="20.25" customHeight="1" x14ac:dyDescent="0.25">
      <c r="A9" s="10" t="s">
        <v>14</v>
      </c>
      <c r="B9" s="10"/>
      <c r="C9" s="11"/>
      <c r="D9" s="11"/>
      <c r="E9" s="14"/>
      <c r="F9" s="181">
        <f>F11+F17+F23+F29+F43+F56+F85</f>
        <v>89537004.680000007</v>
      </c>
      <c r="G9" s="11"/>
      <c r="H9" s="181">
        <f>H11+H17+H23+H29+H43+H56+H85</f>
        <v>191327400</v>
      </c>
    </row>
    <row r="10" spans="1:8" s="8" customFormat="1" ht="6" customHeight="1" x14ac:dyDescent="0.25">
      <c r="A10" s="7"/>
      <c r="B10" s="7"/>
      <c r="C10" s="7"/>
      <c r="D10" s="7"/>
      <c r="E10" s="7"/>
      <c r="F10" s="93"/>
      <c r="G10" s="7"/>
      <c r="H10" s="7"/>
    </row>
    <row r="11" spans="1:8" s="3" customFormat="1" ht="20.25" customHeight="1" x14ac:dyDescent="0.25">
      <c r="A11" s="869" t="s">
        <v>5</v>
      </c>
      <c r="B11" s="831" t="s">
        <v>50</v>
      </c>
      <c r="C11" s="871" t="s">
        <v>21</v>
      </c>
      <c r="D11" s="70" t="s">
        <v>97</v>
      </c>
      <c r="E11" s="70">
        <f>SUM(E12:E15)</f>
        <v>11022</v>
      </c>
      <c r="F11" s="84">
        <f>SUM(F12:F15)</f>
        <v>70798900</v>
      </c>
      <c r="G11" s="70">
        <f>SUM(G12:G15)</f>
        <v>11314</v>
      </c>
      <c r="H11" s="71">
        <f>SUM(H12:H15)</f>
        <v>169710000</v>
      </c>
    </row>
    <row r="12" spans="1:8" s="3" customFormat="1" ht="21" customHeight="1" x14ac:dyDescent="0.25">
      <c r="A12" s="870"/>
      <c r="B12" s="832"/>
      <c r="C12" s="872"/>
      <c r="D12" s="83" t="s">
        <v>186</v>
      </c>
      <c r="E12" s="30">
        <v>1145</v>
      </c>
      <c r="F12" s="37">
        <v>8062100</v>
      </c>
      <c r="G12" s="4">
        <v>1160</v>
      </c>
      <c r="H12" s="17">
        <v>17400000</v>
      </c>
    </row>
    <row r="13" spans="1:8" s="2" customFormat="1" ht="14.25" customHeight="1" x14ac:dyDescent="0.25">
      <c r="A13" s="870"/>
      <c r="B13" s="832"/>
      <c r="C13" s="872"/>
      <c r="D13" s="83" t="s">
        <v>187</v>
      </c>
      <c r="E13" s="30">
        <v>3459</v>
      </c>
      <c r="F13" s="37">
        <v>22323100</v>
      </c>
      <c r="G13" s="4">
        <v>3562</v>
      </c>
      <c r="H13" s="17">
        <v>53430000</v>
      </c>
    </row>
    <row r="14" spans="1:8" s="2" customFormat="1" ht="14.25" customHeight="1" x14ac:dyDescent="0.25">
      <c r="A14" s="870"/>
      <c r="B14" s="832"/>
      <c r="C14" s="872"/>
      <c r="D14" s="83" t="s">
        <v>188</v>
      </c>
      <c r="E14" s="30">
        <v>4238</v>
      </c>
      <c r="F14" s="37">
        <v>28873900</v>
      </c>
      <c r="G14" s="4">
        <v>4355</v>
      </c>
      <c r="H14" s="17">
        <v>65325000</v>
      </c>
    </row>
    <row r="15" spans="1:8" s="2" customFormat="1" ht="48" customHeight="1" x14ac:dyDescent="0.25">
      <c r="A15" s="873"/>
      <c r="B15" s="832"/>
      <c r="C15" s="875"/>
      <c r="D15" s="195" t="s">
        <v>189</v>
      </c>
      <c r="E15" s="233">
        <v>2180</v>
      </c>
      <c r="F15" s="234">
        <v>11539800</v>
      </c>
      <c r="G15" s="196">
        <v>2237</v>
      </c>
      <c r="H15" s="197">
        <v>33555000</v>
      </c>
    </row>
    <row r="16" spans="1:8" s="8" customFormat="1" ht="6" customHeight="1" x14ac:dyDescent="0.25">
      <c r="A16" s="7"/>
      <c r="B16" s="7"/>
      <c r="C16" s="7"/>
      <c r="D16" s="7"/>
      <c r="E16" s="7"/>
      <c r="F16" s="93"/>
      <c r="G16" s="7"/>
      <c r="H16" s="7"/>
    </row>
    <row r="17" spans="1:8" s="9" customFormat="1" ht="19.5" customHeight="1" x14ac:dyDescent="0.25">
      <c r="A17" s="869" t="s">
        <v>7</v>
      </c>
      <c r="B17" s="831" t="s">
        <v>52</v>
      </c>
      <c r="C17" s="871" t="s">
        <v>53</v>
      </c>
      <c r="D17" s="70" t="s">
        <v>97</v>
      </c>
      <c r="E17" s="70">
        <f>SUM(E18:E21)</f>
        <v>75</v>
      </c>
      <c r="F17" s="84">
        <f>SUM(F18:F21)</f>
        <v>405000</v>
      </c>
      <c r="G17" s="70">
        <f>SUM(G18:G21)</f>
        <v>230</v>
      </c>
      <c r="H17" s="71">
        <f>SUM(H18:H21)</f>
        <v>1200000</v>
      </c>
    </row>
    <row r="18" spans="1:8" s="3" customFormat="1" ht="21" customHeight="1" x14ac:dyDescent="0.25">
      <c r="A18" s="870"/>
      <c r="B18" s="832"/>
      <c r="C18" s="872"/>
      <c r="D18" s="83" t="s">
        <v>186</v>
      </c>
      <c r="E18" s="30"/>
      <c r="F18" s="37"/>
      <c r="G18" s="4">
        <v>60</v>
      </c>
      <c r="H18" s="17">
        <v>300000</v>
      </c>
    </row>
    <row r="19" spans="1:8" s="2" customFormat="1" ht="14.25" customHeight="1" x14ac:dyDescent="0.25">
      <c r="A19" s="870"/>
      <c r="B19" s="832"/>
      <c r="C19" s="872"/>
      <c r="D19" s="83" t="s">
        <v>187</v>
      </c>
      <c r="E19" s="30">
        <f>25</f>
        <v>25</v>
      </c>
      <c r="F19" s="37">
        <f>125000</f>
        <v>125000</v>
      </c>
      <c r="G19" s="4">
        <v>90</v>
      </c>
      <c r="H19" s="17">
        <v>450000</v>
      </c>
    </row>
    <row r="20" spans="1:8" s="2" customFormat="1" ht="14.25" customHeight="1" x14ac:dyDescent="0.25">
      <c r="A20" s="870"/>
      <c r="B20" s="832"/>
      <c r="C20" s="872"/>
      <c r="D20" s="83" t="s">
        <v>188</v>
      </c>
      <c r="E20" s="30"/>
      <c r="F20" s="37"/>
      <c r="G20" s="4">
        <v>30</v>
      </c>
      <c r="H20" s="17">
        <v>150000</v>
      </c>
    </row>
    <row r="21" spans="1:8" s="2" customFormat="1" ht="52.5" customHeight="1" x14ac:dyDescent="0.25">
      <c r="A21" s="873"/>
      <c r="B21" s="832"/>
      <c r="C21" s="875"/>
      <c r="D21" s="195" t="s">
        <v>189</v>
      </c>
      <c r="E21" s="233">
        <f>50</f>
        <v>50</v>
      </c>
      <c r="F21" s="234">
        <f>280000</f>
        <v>280000</v>
      </c>
      <c r="G21" s="196">
        <v>50</v>
      </c>
      <c r="H21" s="197">
        <v>300000</v>
      </c>
    </row>
    <row r="22" spans="1:8" s="8" customFormat="1" ht="6" customHeight="1" x14ac:dyDescent="0.25">
      <c r="A22" s="7"/>
      <c r="B22" s="7"/>
      <c r="C22" s="7"/>
      <c r="D22" s="7"/>
      <c r="E22" s="7"/>
      <c r="F22" s="93"/>
      <c r="G22" s="7"/>
      <c r="H22" s="7"/>
    </row>
    <row r="23" spans="1:8" s="9" customFormat="1" ht="18" customHeight="1" x14ac:dyDescent="0.25">
      <c r="A23" s="869" t="s">
        <v>6</v>
      </c>
      <c r="B23" s="867" t="s">
        <v>54</v>
      </c>
      <c r="C23" s="869" t="s">
        <v>20</v>
      </c>
      <c r="D23" s="70" t="s">
        <v>97</v>
      </c>
      <c r="E23" s="70">
        <f>SUM(E24:E27)</f>
        <v>7262</v>
      </c>
      <c r="F23" s="84">
        <f>SUM(F24:F27)</f>
        <v>11415870</v>
      </c>
      <c r="G23" s="70">
        <f>SUM(G24:G27)</f>
        <v>8715</v>
      </c>
      <c r="H23" s="71">
        <f>SUM(H24:H27)</f>
        <v>13595400</v>
      </c>
    </row>
    <row r="24" spans="1:8" s="3" customFormat="1" ht="20.25" customHeight="1" x14ac:dyDescent="0.25">
      <c r="A24" s="870"/>
      <c r="B24" s="868"/>
      <c r="C24" s="870"/>
      <c r="D24" s="83" t="s">
        <v>186</v>
      </c>
      <c r="E24" s="30">
        <v>1029</v>
      </c>
      <c r="F24" s="37">
        <v>1617590</v>
      </c>
      <c r="G24" s="4">
        <v>1235</v>
      </c>
      <c r="H24" s="17">
        <v>1926600</v>
      </c>
    </row>
    <row r="25" spans="1:8" s="2" customFormat="1" ht="14.25" customHeight="1" x14ac:dyDescent="0.25">
      <c r="A25" s="870"/>
      <c r="B25" s="868"/>
      <c r="C25" s="870"/>
      <c r="D25" s="83" t="s">
        <v>187</v>
      </c>
      <c r="E25" s="30">
        <v>1920</v>
      </c>
      <c r="F25" s="37">
        <v>3018250</v>
      </c>
      <c r="G25" s="4">
        <v>2304</v>
      </c>
      <c r="H25" s="17">
        <v>3594240</v>
      </c>
    </row>
    <row r="26" spans="1:8" s="2" customFormat="1" ht="14.25" customHeight="1" x14ac:dyDescent="0.25">
      <c r="A26" s="870"/>
      <c r="B26" s="868"/>
      <c r="C26" s="870"/>
      <c r="D26" s="83" t="s">
        <v>188</v>
      </c>
      <c r="E26" s="30">
        <v>2708</v>
      </c>
      <c r="F26" s="37">
        <v>4256980</v>
      </c>
      <c r="G26" s="4">
        <v>3250</v>
      </c>
      <c r="H26" s="17">
        <v>5070000</v>
      </c>
    </row>
    <row r="27" spans="1:8" s="2" customFormat="1" ht="14.25" customHeight="1" x14ac:dyDescent="0.25">
      <c r="A27" s="873"/>
      <c r="B27" s="874"/>
      <c r="C27" s="873"/>
      <c r="D27" s="83" t="s">
        <v>189</v>
      </c>
      <c r="E27" s="30">
        <v>1605</v>
      </c>
      <c r="F27" s="37">
        <v>2523050</v>
      </c>
      <c r="G27" s="4">
        <v>1926</v>
      </c>
      <c r="H27" s="17">
        <v>3004560</v>
      </c>
    </row>
    <row r="28" spans="1:8" s="8" customFormat="1" ht="6" customHeight="1" x14ac:dyDescent="0.25">
      <c r="A28" s="7"/>
      <c r="B28" s="7"/>
      <c r="C28" s="7"/>
      <c r="D28" s="7"/>
      <c r="E28" s="7"/>
      <c r="F28" s="93"/>
      <c r="G28" s="7"/>
      <c r="H28" s="7"/>
    </row>
    <row r="29" spans="1:8" s="9" customFormat="1" ht="20.25" customHeight="1" x14ac:dyDescent="0.25">
      <c r="A29" s="869" t="s">
        <v>16</v>
      </c>
      <c r="B29" s="869" t="s">
        <v>55</v>
      </c>
      <c r="C29" s="869" t="s">
        <v>19</v>
      </c>
      <c r="D29" s="70" t="s">
        <v>97</v>
      </c>
      <c r="E29" s="70">
        <f>SUM(E30:E33)</f>
        <v>502</v>
      </c>
      <c r="F29" s="84">
        <f>SUM(F30:F33)</f>
        <v>2182000</v>
      </c>
      <c r="G29" s="70">
        <f>SUM(G30:G33)</f>
        <v>1137</v>
      </c>
      <c r="H29" s="71">
        <f>SUM(H30:H33)</f>
        <v>6822000</v>
      </c>
    </row>
    <row r="30" spans="1:8" s="3" customFormat="1" ht="21" customHeight="1" x14ac:dyDescent="0.25">
      <c r="A30" s="870"/>
      <c r="B30" s="870"/>
      <c r="C30" s="870"/>
      <c r="D30" s="83" t="s">
        <v>186</v>
      </c>
      <c r="E30" s="30">
        <v>85</v>
      </c>
      <c r="F30" s="37">
        <v>324000</v>
      </c>
      <c r="G30" s="4">
        <v>235</v>
      </c>
      <c r="H30" s="17">
        <v>1410000</v>
      </c>
    </row>
    <row r="31" spans="1:8" s="2" customFormat="1" ht="14.25" customHeight="1" x14ac:dyDescent="0.25">
      <c r="A31" s="870"/>
      <c r="B31" s="870"/>
      <c r="C31" s="870"/>
      <c r="D31" s="83" t="s">
        <v>187</v>
      </c>
      <c r="E31" s="30">
        <v>126</v>
      </c>
      <c r="F31" s="37">
        <v>551500</v>
      </c>
      <c r="G31" s="4">
        <v>286</v>
      </c>
      <c r="H31" s="17">
        <v>1716000</v>
      </c>
    </row>
    <row r="32" spans="1:8" s="2" customFormat="1" ht="14.25" customHeight="1" x14ac:dyDescent="0.25">
      <c r="A32" s="870"/>
      <c r="B32" s="870"/>
      <c r="C32" s="870"/>
      <c r="D32" s="83" t="s">
        <v>188</v>
      </c>
      <c r="E32" s="30">
        <v>165</v>
      </c>
      <c r="F32" s="37">
        <v>741000</v>
      </c>
      <c r="G32" s="4">
        <v>330</v>
      </c>
      <c r="H32" s="17">
        <v>1980000</v>
      </c>
    </row>
    <row r="33" spans="1:8" s="2" customFormat="1" ht="14.25" customHeight="1" x14ac:dyDescent="0.25">
      <c r="A33" s="873"/>
      <c r="B33" s="873"/>
      <c r="C33" s="873"/>
      <c r="D33" s="83" t="s">
        <v>189</v>
      </c>
      <c r="E33" s="30">
        <v>126</v>
      </c>
      <c r="F33" s="37">
        <v>565500</v>
      </c>
      <c r="G33" s="4">
        <v>286</v>
      </c>
      <c r="H33" s="17">
        <v>1716000</v>
      </c>
    </row>
    <row r="34" spans="1:8" s="123" customFormat="1" ht="6" customHeight="1" x14ac:dyDescent="0.25">
      <c r="F34" s="174"/>
    </row>
    <row r="35" spans="1:8" s="123" customFormat="1" ht="6" customHeight="1" x14ac:dyDescent="0.25">
      <c r="F35" s="174"/>
    </row>
    <row r="36" spans="1:8" s="123" customFormat="1" ht="6" customHeight="1" x14ac:dyDescent="0.25">
      <c r="F36" s="174"/>
    </row>
    <row r="37" spans="1:8" s="123" customFormat="1" ht="6" customHeight="1" x14ac:dyDescent="0.25">
      <c r="F37" s="174"/>
    </row>
    <row r="38" spans="1:8" s="123" customFormat="1" ht="6" customHeight="1" x14ac:dyDescent="0.25">
      <c r="F38" s="174"/>
    </row>
    <row r="39" spans="1:8" s="123" customFormat="1" ht="6" customHeight="1" x14ac:dyDescent="0.25">
      <c r="F39" s="174"/>
    </row>
    <row r="40" spans="1:8" s="123" customFormat="1" ht="6" customHeight="1" x14ac:dyDescent="0.25">
      <c r="F40" s="174"/>
    </row>
    <row r="41" spans="1:8" s="123" customFormat="1" ht="6" customHeight="1" x14ac:dyDescent="0.25">
      <c r="F41" s="174"/>
    </row>
    <row r="42" spans="1:8" s="123" customFormat="1" ht="6" customHeight="1" x14ac:dyDescent="0.25">
      <c r="F42" s="174"/>
    </row>
    <row r="43" spans="1:8" s="9" customFormat="1" ht="16.5" customHeight="1" x14ac:dyDescent="0.25">
      <c r="A43" s="869" t="s">
        <v>17</v>
      </c>
      <c r="B43" s="876" t="s">
        <v>56</v>
      </c>
      <c r="C43" s="869" t="s">
        <v>18</v>
      </c>
      <c r="D43" s="70" t="s">
        <v>97</v>
      </c>
      <c r="E43" s="70">
        <f>SUM(E44:E46)</f>
        <v>12</v>
      </c>
      <c r="F43" s="84">
        <f>SUM(F44:F46)</f>
        <v>13436</v>
      </c>
      <c r="G43" s="70">
        <f>SUM(G44:G46)</f>
        <v>0</v>
      </c>
      <c r="H43" s="71">
        <f>SUM(H44:H46)</f>
        <v>0</v>
      </c>
    </row>
    <row r="44" spans="1:8" s="3" customFormat="1" ht="17.25" customHeight="1" x14ac:dyDescent="0.25">
      <c r="A44" s="870"/>
      <c r="B44" s="877"/>
      <c r="C44" s="870"/>
      <c r="D44" s="83" t="s">
        <v>186</v>
      </c>
      <c r="E44" s="30">
        <f>3</f>
        <v>3</v>
      </c>
      <c r="F44" s="37">
        <f>1416</f>
        <v>1416</v>
      </c>
      <c r="G44" s="4"/>
      <c r="H44" s="17"/>
    </row>
    <row r="45" spans="1:8" s="2" customFormat="1" ht="14.25" customHeight="1" x14ac:dyDescent="0.25">
      <c r="A45" s="870"/>
      <c r="B45" s="877"/>
      <c r="C45" s="870"/>
      <c r="D45" s="83" t="s">
        <v>188</v>
      </c>
      <c r="E45" s="30">
        <f>3+1+1+1</f>
        <v>6</v>
      </c>
      <c r="F45" s="37">
        <f>2096+1000+300+1528</f>
        <v>4924</v>
      </c>
      <c r="G45" s="4"/>
      <c r="H45" s="17"/>
    </row>
    <row r="46" spans="1:8" s="2" customFormat="1" ht="14.25" customHeight="1" x14ac:dyDescent="0.25">
      <c r="A46" s="873"/>
      <c r="B46" s="878"/>
      <c r="C46" s="873"/>
      <c r="D46" s="83" t="s">
        <v>189</v>
      </c>
      <c r="E46" s="30">
        <f>1+1+1</f>
        <v>3</v>
      </c>
      <c r="F46" s="37">
        <f>1500+1596+4000</f>
        <v>7096</v>
      </c>
      <c r="G46" s="4"/>
      <c r="H46" s="17"/>
    </row>
    <row r="47" spans="1:8" s="8" customFormat="1" ht="6" customHeight="1" x14ac:dyDescent="0.25">
      <c r="A47" s="7"/>
      <c r="B47" s="7"/>
      <c r="C47" s="7"/>
      <c r="D47" s="7"/>
      <c r="E47" s="7"/>
      <c r="F47" s="93"/>
      <c r="G47" s="7"/>
      <c r="H47" s="7"/>
    </row>
    <row r="48" spans="1:8" s="9" customFormat="1" ht="34.5" hidden="1" customHeight="1" x14ac:dyDescent="0.25">
      <c r="A48" s="6" t="s">
        <v>22</v>
      </c>
      <c r="B48" s="831" t="s">
        <v>57</v>
      </c>
      <c r="C48" s="6" t="s">
        <v>37</v>
      </c>
      <c r="D48" s="6"/>
      <c r="E48" s="42">
        <f>SUM(E49:E54)</f>
        <v>227</v>
      </c>
      <c r="F48" s="94">
        <f>SUM(F49:F54)</f>
        <v>562960</v>
      </c>
      <c r="G48" s="6"/>
      <c r="H48" s="6"/>
    </row>
    <row r="49" spans="1:9" s="1" customFormat="1" ht="15" hidden="1" customHeight="1" x14ac:dyDescent="0.25">
      <c r="A49" s="972" t="s">
        <v>35</v>
      </c>
      <c r="B49" s="832"/>
      <c r="C49" s="5"/>
      <c r="D49" s="4" t="s">
        <v>42</v>
      </c>
      <c r="E49" s="44"/>
      <c r="F49" s="41"/>
      <c r="G49" s="5"/>
      <c r="H49" s="4" t="s">
        <v>8</v>
      </c>
    </row>
    <row r="50" spans="1:9" s="1" customFormat="1" ht="15" hidden="1" customHeight="1" x14ac:dyDescent="0.25">
      <c r="A50" s="918"/>
      <c r="B50" s="833"/>
      <c r="C50" s="5"/>
      <c r="D50" s="4" t="s">
        <v>43</v>
      </c>
      <c r="E50" s="44"/>
      <c r="F50" s="38"/>
      <c r="G50" s="5"/>
      <c r="H50" s="4" t="s">
        <v>9</v>
      </c>
    </row>
    <row r="51" spans="1:9" s="1" customFormat="1" ht="15" hidden="1" customHeight="1" x14ac:dyDescent="0.25">
      <c r="A51" s="918"/>
      <c r="B51" s="211"/>
      <c r="C51" s="5"/>
      <c r="D51" s="4" t="s">
        <v>44</v>
      </c>
      <c r="E51" s="45">
        <v>227</v>
      </c>
      <c r="F51" s="39">
        <v>562960</v>
      </c>
      <c r="G51" s="5"/>
      <c r="H51" s="4" t="s">
        <v>10</v>
      </c>
    </row>
    <row r="52" spans="1:9" s="1" customFormat="1" ht="15" hidden="1" customHeight="1" x14ac:dyDescent="0.25">
      <c r="A52" s="918"/>
      <c r="B52" s="211"/>
      <c r="C52" s="5"/>
      <c r="D52" s="4" t="s">
        <v>45</v>
      </c>
      <c r="E52" s="44"/>
      <c r="F52" s="39"/>
      <c r="G52" s="5"/>
      <c r="H52" s="4" t="s">
        <v>11</v>
      </c>
    </row>
    <row r="53" spans="1:9" s="1" customFormat="1" ht="15" hidden="1" customHeight="1" x14ac:dyDescent="0.25">
      <c r="A53" s="918"/>
      <c r="B53" s="211"/>
      <c r="C53" s="5"/>
      <c r="D53" s="4" t="s">
        <v>46</v>
      </c>
      <c r="E53" s="44"/>
      <c r="F53" s="39"/>
      <c r="G53" s="5"/>
      <c r="H53" s="4" t="s">
        <v>12</v>
      </c>
    </row>
    <row r="54" spans="1:9" s="1" customFormat="1" ht="15" hidden="1" customHeight="1" x14ac:dyDescent="0.25">
      <c r="A54" s="918"/>
      <c r="B54" s="211"/>
      <c r="C54" s="5"/>
      <c r="D54" s="4" t="s">
        <v>47</v>
      </c>
      <c r="E54" s="44"/>
      <c r="F54" s="40"/>
      <c r="G54" s="5"/>
      <c r="H54" s="4" t="s">
        <v>13</v>
      </c>
    </row>
    <row r="55" spans="1:9" s="8" customFormat="1" ht="8.25" hidden="1" customHeight="1" x14ac:dyDescent="0.25">
      <c r="A55" s="7"/>
      <c r="B55" s="7"/>
      <c r="C55" s="7"/>
      <c r="D55" s="7"/>
      <c r="E55" s="7"/>
      <c r="F55" s="93"/>
      <c r="G55" s="7"/>
      <c r="H55" s="7"/>
    </row>
    <row r="56" spans="1:9" s="9" customFormat="1" ht="18" customHeight="1" x14ac:dyDescent="0.25">
      <c r="A56" s="869" t="s">
        <v>23</v>
      </c>
      <c r="B56" s="867" t="s">
        <v>58</v>
      </c>
      <c r="C56" s="869" t="s">
        <v>24</v>
      </c>
      <c r="D56" s="70" t="s">
        <v>97</v>
      </c>
      <c r="E56" s="70">
        <f>SUM(E57:E60)</f>
        <v>13317</v>
      </c>
      <c r="F56" s="84">
        <f>SUM(F57:F60)</f>
        <v>3592158.68</v>
      </c>
      <c r="G56" s="70">
        <f>SUM(G57:G60)</f>
        <v>0</v>
      </c>
      <c r="H56" s="71">
        <f>SUM(H57:H60)</f>
        <v>0</v>
      </c>
      <c r="I56" s="66"/>
    </row>
    <row r="57" spans="1:9" s="9" customFormat="1" ht="15.75" customHeight="1" x14ac:dyDescent="0.25">
      <c r="A57" s="870"/>
      <c r="B57" s="868"/>
      <c r="C57" s="870"/>
      <c r="D57" s="83" t="s">
        <v>186</v>
      </c>
      <c r="E57" s="30">
        <v>363</v>
      </c>
      <c r="F57" s="37">
        <v>117000.24</v>
      </c>
      <c r="G57" s="4"/>
      <c r="H57" s="17"/>
      <c r="I57" s="66"/>
    </row>
    <row r="58" spans="1:9" s="3" customFormat="1" ht="16.5" customHeight="1" x14ac:dyDescent="0.25">
      <c r="A58" s="870"/>
      <c r="B58" s="868"/>
      <c r="C58" s="870"/>
      <c r="D58" s="83" t="s">
        <v>187</v>
      </c>
      <c r="E58" s="30">
        <v>3100</v>
      </c>
      <c r="F58" s="37">
        <v>845406.92</v>
      </c>
      <c r="G58" s="4"/>
      <c r="H58" s="17"/>
    </row>
    <row r="59" spans="1:9" s="2" customFormat="1" ht="14.25" customHeight="1" x14ac:dyDescent="0.25">
      <c r="A59" s="870"/>
      <c r="B59" s="868"/>
      <c r="C59" s="870"/>
      <c r="D59" s="83" t="s">
        <v>188</v>
      </c>
      <c r="E59" s="30">
        <v>8204</v>
      </c>
      <c r="F59" s="37">
        <v>2076156.48</v>
      </c>
      <c r="G59" s="4"/>
      <c r="H59" s="17"/>
    </row>
    <row r="60" spans="1:9" s="2" customFormat="1" ht="43.5" customHeight="1" x14ac:dyDescent="0.25">
      <c r="A60" s="873"/>
      <c r="B60" s="874"/>
      <c r="C60" s="873"/>
      <c r="D60" s="195" t="s">
        <v>189</v>
      </c>
      <c r="E60" s="233">
        <v>1650</v>
      </c>
      <c r="F60" s="234">
        <v>553595.04</v>
      </c>
      <c r="G60" s="196"/>
      <c r="H60" s="197"/>
    </row>
    <row r="61" spans="1:9" s="8" customFormat="1" ht="6" customHeight="1" x14ac:dyDescent="0.25">
      <c r="A61" s="7"/>
      <c r="B61" s="7"/>
      <c r="C61" s="7"/>
      <c r="D61" s="7"/>
      <c r="E61" s="7"/>
      <c r="F61" s="93"/>
      <c r="G61" s="7"/>
      <c r="H61" s="7"/>
    </row>
    <row r="62" spans="1:9" s="9" customFormat="1" ht="30" hidden="1" customHeight="1" x14ac:dyDescent="0.25">
      <c r="A62" s="214" t="s">
        <v>63</v>
      </c>
      <c r="B62" s="831" t="s">
        <v>64</v>
      </c>
      <c r="C62" s="6" t="s">
        <v>65</v>
      </c>
      <c r="D62" s="155" t="s">
        <v>81</v>
      </c>
      <c r="E62" s="161" t="e">
        <f>SUM(#REF!)</f>
        <v>#REF!</v>
      </c>
      <c r="F62" s="158" t="e">
        <f>SUM(#REF!)</f>
        <v>#REF!</v>
      </c>
      <c r="G62" s="63" t="e">
        <f>#REF!+#REF!</f>
        <v>#REF!</v>
      </c>
      <c r="H62" s="78" t="e">
        <f>#REF!+#REF!</f>
        <v>#REF!</v>
      </c>
    </row>
    <row r="63" spans="1:9" s="3" customFormat="1" ht="27.75" hidden="1" customHeight="1" x14ac:dyDescent="0.25">
      <c r="A63" s="6"/>
      <c r="B63" s="879"/>
      <c r="C63" s="6"/>
      <c r="D63" s="70" t="s">
        <v>79</v>
      </c>
      <c r="E63" s="70">
        <f>SUM(E64:E73)</f>
        <v>0</v>
      </c>
      <c r="F63" s="84">
        <f>SUM(F64:F73)</f>
        <v>0</v>
      </c>
      <c r="G63" s="70">
        <f>SUM(G64:G73)</f>
        <v>0</v>
      </c>
      <c r="H63" s="71">
        <f>SUM(H64:H73)</f>
        <v>0</v>
      </c>
    </row>
    <row r="64" spans="1:9" s="2" customFormat="1" ht="14.25" hidden="1" customHeight="1" x14ac:dyDescent="0.25">
      <c r="A64" s="18"/>
      <c r="B64" s="879"/>
      <c r="C64" s="6"/>
      <c r="D64" s="83" t="s">
        <v>172</v>
      </c>
      <c r="E64" s="30"/>
      <c r="F64" s="37"/>
      <c r="G64" s="4"/>
      <c r="H64" s="17"/>
    </row>
    <row r="65" spans="1:8" s="2" customFormat="1" ht="14.25" hidden="1" customHeight="1" x14ac:dyDescent="0.25">
      <c r="A65" s="972"/>
      <c r="B65" s="879"/>
      <c r="C65" s="6"/>
      <c r="D65" s="83" t="s">
        <v>173</v>
      </c>
      <c r="E65" s="30"/>
      <c r="F65" s="37"/>
      <c r="G65" s="4"/>
      <c r="H65" s="17"/>
    </row>
    <row r="66" spans="1:8" s="2" customFormat="1" ht="14.25" hidden="1" customHeight="1" x14ac:dyDescent="0.25">
      <c r="A66" s="918"/>
      <c r="B66" s="879"/>
      <c r="C66" s="6"/>
      <c r="D66" s="83" t="s">
        <v>174</v>
      </c>
      <c r="E66" s="30"/>
      <c r="F66" s="37"/>
      <c r="G66" s="4"/>
      <c r="H66" s="17"/>
    </row>
    <row r="67" spans="1:8" s="2" customFormat="1" ht="14.25" hidden="1" customHeight="1" x14ac:dyDescent="0.25">
      <c r="A67" s="918"/>
      <c r="B67" s="879"/>
      <c r="C67" s="6"/>
      <c r="D67" s="83" t="s">
        <v>175</v>
      </c>
      <c r="E67" s="30"/>
      <c r="F67" s="37"/>
      <c r="G67" s="4"/>
      <c r="H67" s="17"/>
    </row>
    <row r="68" spans="1:8" s="2" customFormat="1" ht="14.25" hidden="1" customHeight="1" x14ac:dyDescent="0.25">
      <c r="A68" s="918"/>
      <c r="B68" s="879"/>
      <c r="C68" s="6"/>
      <c r="D68" s="83" t="s">
        <v>176</v>
      </c>
      <c r="E68" s="30"/>
      <c r="F68" s="37"/>
      <c r="G68" s="4"/>
      <c r="H68" s="17"/>
    </row>
    <row r="69" spans="1:8" s="2" customFormat="1" ht="14.25" hidden="1" customHeight="1" x14ac:dyDescent="0.25">
      <c r="A69" s="918"/>
      <c r="B69" s="879"/>
      <c r="C69" s="6"/>
      <c r="D69" s="83" t="s">
        <v>177</v>
      </c>
      <c r="E69" s="30"/>
      <c r="F69" s="37"/>
      <c r="G69" s="4"/>
      <c r="H69" s="17"/>
    </row>
    <row r="70" spans="1:8" s="2" customFormat="1" ht="14.25" hidden="1" customHeight="1" x14ac:dyDescent="0.25">
      <c r="A70" s="918"/>
      <c r="B70" s="879"/>
      <c r="C70" s="6"/>
      <c r="D70" s="83" t="s">
        <v>178</v>
      </c>
      <c r="E70" s="30"/>
      <c r="F70" s="37"/>
      <c r="G70" s="4"/>
      <c r="H70" s="17"/>
    </row>
    <row r="71" spans="1:8" s="2" customFormat="1" ht="14.25" hidden="1" customHeight="1" x14ac:dyDescent="0.25">
      <c r="A71" s="918"/>
      <c r="B71" s="879"/>
      <c r="C71" s="6"/>
      <c r="D71" s="83" t="s">
        <v>179</v>
      </c>
      <c r="E71" s="30"/>
      <c r="F71" s="37"/>
      <c r="G71" s="4"/>
      <c r="H71" s="17"/>
    </row>
    <row r="72" spans="1:8" s="2" customFormat="1" ht="14.25" hidden="1" customHeight="1" x14ac:dyDescent="0.25">
      <c r="A72" s="918"/>
      <c r="B72" s="879"/>
      <c r="C72" s="6"/>
      <c r="D72" s="83" t="s">
        <v>180</v>
      </c>
      <c r="E72" s="30"/>
      <c r="F72" s="37"/>
      <c r="G72" s="4"/>
      <c r="H72" s="17"/>
    </row>
    <row r="73" spans="1:8" s="2" customFormat="1" ht="14.25" hidden="1" customHeight="1" x14ac:dyDescent="0.25">
      <c r="A73" s="918"/>
      <c r="B73" s="879"/>
      <c r="C73" s="6"/>
      <c r="D73" s="83" t="s">
        <v>181</v>
      </c>
      <c r="E73" s="30"/>
      <c r="F73" s="37"/>
      <c r="G73" s="4"/>
      <c r="H73" s="17"/>
    </row>
    <row r="74" spans="1:8" s="2" customFormat="1" ht="24" hidden="1" customHeight="1" x14ac:dyDescent="0.25">
      <c r="A74" s="211"/>
      <c r="B74" s="879"/>
      <c r="C74" s="6"/>
      <c r="D74" s="70" t="s">
        <v>80</v>
      </c>
      <c r="E74" s="70">
        <f>SUM(E75:E78)</f>
        <v>0</v>
      </c>
      <c r="F74" s="84">
        <f>SUM(F75:F78)</f>
        <v>0</v>
      </c>
      <c r="G74" s="70">
        <f>SUM(G75:G78)</f>
        <v>0</v>
      </c>
      <c r="H74" s="71">
        <f>SUM(H75:H78)</f>
        <v>0</v>
      </c>
    </row>
    <row r="75" spans="1:8" s="2" customFormat="1" ht="14.25" hidden="1" customHeight="1" x14ac:dyDescent="0.25">
      <c r="A75" s="211"/>
      <c r="B75" s="879"/>
      <c r="C75" s="6"/>
      <c r="D75" s="83" t="s">
        <v>182</v>
      </c>
      <c r="E75" s="30"/>
      <c r="F75" s="37"/>
      <c r="G75" s="4"/>
      <c r="H75" s="17"/>
    </row>
    <row r="76" spans="1:8" s="2" customFormat="1" ht="14.25" hidden="1" customHeight="1" x14ac:dyDescent="0.25">
      <c r="A76" s="211"/>
      <c r="B76" s="879"/>
      <c r="C76" s="6"/>
      <c r="D76" s="83" t="s">
        <v>183</v>
      </c>
      <c r="E76" s="30"/>
      <c r="F76" s="37"/>
      <c r="G76" s="4"/>
      <c r="H76" s="17"/>
    </row>
    <row r="77" spans="1:8" s="2" customFormat="1" ht="14.25" hidden="1" customHeight="1" x14ac:dyDescent="0.25">
      <c r="A77" s="211"/>
      <c r="B77" s="879"/>
      <c r="C77" s="6"/>
      <c r="D77" s="83" t="s">
        <v>184</v>
      </c>
      <c r="E77" s="30"/>
      <c r="F77" s="37"/>
      <c r="G77" s="4"/>
      <c r="H77" s="17"/>
    </row>
    <row r="78" spans="1:8" s="2" customFormat="1" ht="14.25" hidden="1" customHeight="1" x14ac:dyDescent="0.25">
      <c r="A78" s="211"/>
      <c r="B78" s="879"/>
      <c r="C78" s="6"/>
      <c r="D78" s="83" t="s">
        <v>185</v>
      </c>
      <c r="E78" s="30"/>
      <c r="F78" s="37"/>
      <c r="G78" s="4"/>
      <c r="H78" s="17"/>
    </row>
    <row r="79" spans="1:8" s="2" customFormat="1" ht="24" hidden="1" customHeight="1" x14ac:dyDescent="0.25">
      <c r="A79" s="211"/>
      <c r="B79" s="879"/>
      <c r="C79" s="6"/>
      <c r="D79" s="70" t="s">
        <v>97</v>
      </c>
      <c r="E79" s="70">
        <f>SUM(E80:E83)</f>
        <v>0</v>
      </c>
      <c r="F79" s="84">
        <f>SUM(F80:F83)</f>
        <v>0</v>
      </c>
      <c r="G79" s="70">
        <f>SUM(G80:G83)</f>
        <v>0</v>
      </c>
      <c r="H79" s="71">
        <f>SUM(H80:H83)</f>
        <v>0</v>
      </c>
    </row>
    <row r="80" spans="1:8" s="2" customFormat="1" ht="14.25" hidden="1" customHeight="1" x14ac:dyDescent="0.25">
      <c r="A80" s="211"/>
      <c r="B80" s="879"/>
      <c r="C80" s="6"/>
      <c r="D80" s="83" t="s">
        <v>186</v>
      </c>
      <c r="E80" s="30"/>
      <c r="F80" s="37"/>
      <c r="G80" s="4"/>
      <c r="H80" s="17"/>
    </row>
    <row r="81" spans="1:8" s="2" customFormat="1" ht="14.25" hidden="1" customHeight="1" x14ac:dyDescent="0.25">
      <c r="A81" s="211"/>
      <c r="B81" s="879"/>
      <c r="C81" s="6"/>
      <c r="D81" s="83" t="s">
        <v>187</v>
      </c>
      <c r="E81" s="30"/>
      <c r="F81" s="37"/>
      <c r="G81" s="4"/>
      <c r="H81" s="17"/>
    </row>
    <row r="82" spans="1:8" s="2" customFormat="1" ht="14.25" hidden="1" customHeight="1" x14ac:dyDescent="0.25">
      <c r="A82" s="211"/>
      <c r="B82" s="879"/>
      <c r="C82" s="6"/>
      <c r="D82" s="83" t="s">
        <v>188</v>
      </c>
      <c r="E82" s="30"/>
      <c r="F82" s="37"/>
      <c r="G82" s="4"/>
      <c r="H82" s="17"/>
    </row>
    <row r="83" spans="1:8" s="2" customFormat="1" ht="14.25" hidden="1" customHeight="1" x14ac:dyDescent="0.25">
      <c r="A83" s="211"/>
      <c r="B83" s="879"/>
      <c r="C83" s="6"/>
      <c r="D83" s="83" t="s">
        <v>189</v>
      </c>
      <c r="E83" s="30"/>
      <c r="F83" s="37"/>
      <c r="G83" s="4"/>
      <c r="H83" s="17"/>
    </row>
    <row r="84" spans="1:8" s="8" customFormat="1" ht="6" hidden="1" customHeight="1" x14ac:dyDescent="0.25">
      <c r="A84" s="7"/>
      <c r="B84" s="7"/>
      <c r="C84" s="7"/>
      <c r="D84" s="7"/>
      <c r="E84" s="7"/>
      <c r="F84" s="93"/>
      <c r="G84" s="7"/>
      <c r="H84" s="7"/>
    </row>
    <row r="85" spans="1:8" s="9" customFormat="1" ht="30" customHeight="1" x14ac:dyDescent="0.25">
      <c r="A85" s="869" t="s">
        <v>67</v>
      </c>
      <c r="B85" s="867" t="s">
        <v>68</v>
      </c>
      <c r="C85" s="869" t="s">
        <v>65</v>
      </c>
      <c r="D85" s="70" t="s">
        <v>97</v>
      </c>
      <c r="E85" s="70">
        <f>SUM(E86:E86)</f>
        <v>611</v>
      </c>
      <c r="F85" s="84">
        <f>SUM(F86:F86)</f>
        <v>1129640</v>
      </c>
      <c r="G85" s="70">
        <f>SUM(G86:G86)</f>
        <v>0</v>
      </c>
      <c r="H85" s="71">
        <f>SUM(H86:H86)</f>
        <v>0</v>
      </c>
    </row>
    <row r="86" spans="1:8" s="2" customFormat="1" ht="84.75" customHeight="1" x14ac:dyDescent="0.25">
      <c r="A86" s="873"/>
      <c r="B86" s="874"/>
      <c r="C86" s="873"/>
      <c r="D86" s="195" t="s">
        <v>189</v>
      </c>
      <c r="E86" s="233">
        <f>300+311</f>
        <v>611</v>
      </c>
      <c r="F86" s="234">
        <f>744000+385640</f>
        <v>1129640</v>
      </c>
      <c r="G86" s="196"/>
      <c r="H86" s="197"/>
    </row>
    <row r="87" spans="1:8" x14ac:dyDescent="0.25">
      <c r="A87" t="s">
        <v>26</v>
      </c>
      <c r="B87" t="s">
        <v>28</v>
      </c>
      <c r="D87" t="s">
        <v>31</v>
      </c>
      <c r="F87"/>
    </row>
    <row r="88" spans="1:8" x14ac:dyDescent="0.25">
      <c r="F88"/>
    </row>
    <row r="89" spans="1:8" x14ac:dyDescent="0.25">
      <c r="A89" t="s">
        <v>27</v>
      </c>
      <c r="B89" t="s">
        <v>29</v>
      </c>
      <c r="D89" t="s">
        <v>32</v>
      </c>
      <c r="F89"/>
    </row>
    <row r="90" spans="1:8" x14ac:dyDescent="0.25">
      <c r="A90" t="s">
        <v>223</v>
      </c>
      <c r="B90" t="s">
        <v>30</v>
      </c>
      <c r="D90" t="s">
        <v>33</v>
      </c>
      <c r="F90"/>
    </row>
  </sheetData>
  <mergeCells count="36">
    <mergeCell ref="A85:A86"/>
    <mergeCell ref="C85:C86"/>
    <mergeCell ref="B62:B83"/>
    <mergeCell ref="A65:A73"/>
    <mergeCell ref="B85:B86"/>
    <mergeCell ref="A17:A21"/>
    <mergeCell ref="C17:C21"/>
    <mergeCell ref="A23:A27"/>
    <mergeCell ref="B17:B21"/>
    <mergeCell ref="B23:B27"/>
    <mergeCell ref="C23:C27"/>
    <mergeCell ref="C56:C60"/>
    <mergeCell ref="B29:B33"/>
    <mergeCell ref="C29:C33"/>
    <mergeCell ref="B43:B46"/>
    <mergeCell ref="A43:A46"/>
    <mergeCell ref="C43:C46"/>
    <mergeCell ref="A29:A33"/>
    <mergeCell ref="B48:B50"/>
    <mergeCell ref="A49:A54"/>
    <mergeCell ref="B56:B60"/>
    <mergeCell ref="A56:A60"/>
    <mergeCell ref="G7:H7"/>
    <mergeCell ref="B11:B15"/>
    <mergeCell ref="A1:H1"/>
    <mergeCell ref="A2:H2"/>
    <mergeCell ref="A4:H4"/>
    <mergeCell ref="A5:H5"/>
    <mergeCell ref="A7:A8"/>
    <mergeCell ref="B7:B8"/>
    <mergeCell ref="C7:C8"/>
    <mergeCell ref="D7:D8"/>
    <mergeCell ref="E7:E8"/>
    <mergeCell ref="F7:F8"/>
    <mergeCell ref="A11:A15"/>
    <mergeCell ref="C11:C15"/>
  </mergeCells>
  <printOptions horizontalCentered="1"/>
  <pageMargins left="0.52" right="0.66" top="0.68" bottom="0.69" header="0.3" footer="0.4"/>
  <pageSetup paperSize="9" scale="80" orientation="landscape" verticalDpi="300" r:id="rId1"/>
  <headerFooter>
    <oddFooter>&amp;L3rd District of Tarlac&amp;CPage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61"/>
  <sheetViews>
    <sheetView view="pageBreakPreview" topLeftCell="A17" zoomScale="80" zoomScaleNormal="100" zoomScaleSheetLayoutView="80" workbookViewId="0">
      <selection activeCell="M32" sqref="M32"/>
    </sheetView>
  </sheetViews>
  <sheetFormatPr defaultRowHeight="15" x14ac:dyDescent="0.25"/>
  <cols>
    <col min="1" max="1" width="14.28515625" customWidth="1"/>
    <col min="2" max="2" width="11.42578125" customWidth="1"/>
    <col min="3" max="3" width="17.140625" style="97" customWidth="1"/>
    <col min="4" max="4" width="13.28515625" style="97" customWidth="1"/>
    <col min="5" max="5" width="16.7109375" style="97" customWidth="1"/>
    <col min="6" max="6" width="9.5703125" customWidth="1"/>
    <col min="7" max="7" width="16.28515625" style="97" customWidth="1"/>
    <col min="8" max="8" width="11" customWidth="1"/>
    <col min="9" max="9" width="16.140625" style="97" customWidth="1"/>
    <col min="10" max="10" width="11.5703125" customWidth="1"/>
    <col min="11" max="11" width="14.5703125" style="97" customWidth="1"/>
    <col min="12" max="12" width="11.42578125" customWidth="1"/>
    <col min="13" max="13" width="17.140625" style="97" customWidth="1"/>
    <col min="14" max="14" width="17.42578125" customWidth="1"/>
    <col min="15" max="15" width="9.140625" customWidth="1"/>
    <col min="16" max="16" width="18.140625" customWidth="1"/>
    <col min="17" max="17" width="9.140625" customWidth="1"/>
    <col min="18" max="18" width="15.42578125" customWidth="1"/>
    <col min="20" max="20" width="15.42578125" customWidth="1"/>
  </cols>
  <sheetData>
    <row r="1" spans="1:13" ht="15" customHeight="1" x14ac:dyDescent="0.25">
      <c r="A1" s="858"/>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75" customHeight="1" x14ac:dyDescent="0.3">
      <c r="A5" s="911" t="s">
        <v>335</v>
      </c>
      <c r="B5" s="911"/>
      <c r="C5" s="911"/>
      <c r="D5" s="911"/>
      <c r="E5" s="911"/>
      <c r="F5" s="911"/>
      <c r="G5" s="911"/>
      <c r="H5" s="911"/>
      <c r="I5" s="911"/>
      <c r="J5" s="911"/>
      <c r="K5" s="911"/>
      <c r="L5" s="911"/>
      <c r="M5" s="911"/>
    </row>
    <row r="6" spans="1:13" ht="15.75" customHeight="1" x14ac:dyDescent="0.25">
      <c r="A6" s="912" t="str">
        <f>Summary2015!A6</f>
        <v>JANUARY TO DECEMBER 2015</v>
      </c>
      <c r="B6" s="912"/>
      <c r="C6" s="912"/>
      <c r="D6" s="912"/>
      <c r="E6" s="912"/>
      <c r="F6" s="912"/>
      <c r="G6" s="912"/>
      <c r="H6" s="912"/>
      <c r="I6" s="912"/>
      <c r="J6" s="912"/>
      <c r="K6" s="912"/>
      <c r="L6" s="912"/>
      <c r="M6" s="912"/>
    </row>
    <row r="7" spans="1:13" s="480" customFormat="1" ht="15.75" customHeight="1" x14ac:dyDescent="0.25">
      <c r="A7" s="480" t="s">
        <v>326</v>
      </c>
      <c r="C7" s="481"/>
      <c r="D7" s="481"/>
      <c r="E7" s="481"/>
      <c r="G7" s="481"/>
      <c r="I7" s="481"/>
      <c r="K7" s="481"/>
      <c r="M7" s="481"/>
    </row>
    <row r="8" spans="1:13" s="507" customFormat="1" ht="34.5" customHeight="1" x14ac:dyDescent="0.25">
      <c r="A8" s="906" t="s">
        <v>3</v>
      </c>
      <c r="B8" s="896" t="s">
        <v>5</v>
      </c>
      <c r="C8" s="897"/>
      <c r="D8" s="897"/>
      <c r="E8" s="898"/>
      <c r="F8" s="896" t="s">
        <v>7</v>
      </c>
      <c r="G8" s="897"/>
      <c r="H8" s="897"/>
      <c r="I8" s="898"/>
      <c r="J8" s="896" t="s">
        <v>306</v>
      </c>
      <c r="K8" s="897"/>
      <c r="L8" s="897"/>
      <c r="M8" s="898"/>
    </row>
    <row r="9" spans="1:13" ht="24" customHeight="1" x14ac:dyDescent="0.25">
      <c r="A9" s="906"/>
      <c r="B9" s="899" t="s">
        <v>327</v>
      </c>
      <c r="C9" s="899"/>
      <c r="D9" s="900" t="s">
        <v>333</v>
      </c>
      <c r="E9" s="901"/>
      <c r="F9" s="899" t="s">
        <v>327</v>
      </c>
      <c r="G9" s="899"/>
      <c r="H9" s="900" t="s">
        <v>333</v>
      </c>
      <c r="I9" s="901"/>
      <c r="J9" s="899" t="s">
        <v>327</v>
      </c>
      <c r="K9" s="899"/>
      <c r="L9" s="900" t="s">
        <v>333</v>
      </c>
      <c r="M9" s="901"/>
    </row>
    <row r="10" spans="1:13" s="343" customFormat="1" ht="45" customHeight="1" x14ac:dyDescent="0.25">
      <c r="A10" s="906"/>
      <c r="B10" s="464" t="s">
        <v>307</v>
      </c>
      <c r="C10" s="476" t="s">
        <v>60</v>
      </c>
      <c r="D10" s="479" t="s">
        <v>307</v>
      </c>
      <c r="E10" s="17" t="s">
        <v>305</v>
      </c>
      <c r="F10" s="464" t="s">
        <v>308</v>
      </c>
      <c r="G10" s="476" t="s">
        <v>60</v>
      </c>
      <c r="H10" s="479" t="s">
        <v>308</v>
      </c>
      <c r="I10" s="17" t="s">
        <v>305</v>
      </c>
      <c r="J10" s="464" t="s">
        <v>309</v>
      </c>
      <c r="K10" s="476" t="s">
        <v>60</v>
      </c>
      <c r="L10" s="479" t="s">
        <v>309</v>
      </c>
      <c r="M10" s="476" t="s">
        <v>305</v>
      </c>
    </row>
    <row r="11" spans="1:13" ht="15.75" customHeight="1" thickBot="1" x14ac:dyDescent="0.3">
      <c r="A11" s="349" t="s">
        <v>81</v>
      </c>
      <c r="B11" s="477">
        <f>SUM(B12:B19)</f>
        <v>8265</v>
      </c>
      <c r="C11" s="351">
        <f t="shared" ref="C11:M11" si="0">SUM(C12:C19)</f>
        <v>123975000</v>
      </c>
      <c r="D11" s="477">
        <f>SUM(D12:D19)</f>
        <v>8231</v>
      </c>
      <c r="E11" s="646">
        <f>SUM(E12:E19)</f>
        <v>95392100</v>
      </c>
      <c r="F11" s="477">
        <f t="shared" si="0"/>
        <v>1016</v>
      </c>
      <c r="G11" s="351">
        <f t="shared" si="0"/>
        <v>10160000</v>
      </c>
      <c r="H11" s="477">
        <f>SUM(H12:H19)</f>
        <v>273</v>
      </c>
      <c r="I11" s="351">
        <f>SUM(I12:I19)</f>
        <v>1437000</v>
      </c>
      <c r="J11" s="477">
        <f t="shared" si="0"/>
        <v>6175</v>
      </c>
      <c r="K11" s="351">
        <f t="shared" si="0"/>
        <v>9633000</v>
      </c>
      <c r="L11" s="350">
        <f t="shared" si="0"/>
        <v>5079</v>
      </c>
      <c r="M11" s="351">
        <f t="shared" si="0"/>
        <v>2104388</v>
      </c>
    </row>
    <row r="12" spans="1:13" x14ac:dyDescent="0.25">
      <c r="A12" s="464" t="s">
        <v>83</v>
      </c>
      <c r="B12" s="411">
        <v>983</v>
      </c>
      <c r="C12" s="442">
        <f>B12*15000</f>
        <v>14745000</v>
      </c>
      <c r="D12" s="762">
        <v>981</v>
      </c>
      <c r="E12" s="762">
        <v>11867700</v>
      </c>
      <c r="F12" s="383">
        <v>75</v>
      </c>
      <c r="G12" s="384">
        <f>F12*10000</f>
        <v>750000</v>
      </c>
      <c r="H12" s="742">
        <v>40</v>
      </c>
      <c r="I12" s="1074">
        <v>225000</v>
      </c>
      <c r="J12" s="723">
        <v>1972</v>
      </c>
      <c r="K12" s="730">
        <f>J12*1560</f>
        <v>3076320</v>
      </c>
      <c r="L12" s="345">
        <v>1837</v>
      </c>
      <c r="M12" s="344">
        <v>859716</v>
      </c>
    </row>
    <row r="13" spans="1:13" x14ac:dyDescent="0.25">
      <c r="A13" s="464" t="s">
        <v>84</v>
      </c>
      <c r="B13" s="411">
        <f>1385-62</f>
        <v>1323</v>
      </c>
      <c r="C13" s="442">
        <f t="shared" ref="C13:C19" si="1">B13*15000</f>
        <v>19845000</v>
      </c>
      <c r="D13" s="762">
        <v>1322</v>
      </c>
      <c r="E13" s="762">
        <v>15496200</v>
      </c>
      <c r="F13" s="383">
        <v>200</v>
      </c>
      <c r="G13" s="384">
        <f t="shared" ref="G13:G19" si="2">F13*10000</f>
        <v>2000000</v>
      </c>
      <c r="H13" s="743">
        <v>24</v>
      </c>
      <c r="I13" s="1075">
        <v>120000</v>
      </c>
      <c r="J13" s="723">
        <v>700</v>
      </c>
      <c r="K13" s="730">
        <f t="shared" ref="K13:K19" si="3">J13*1560</f>
        <v>1092000</v>
      </c>
      <c r="L13" s="345">
        <v>920</v>
      </c>
      <c r="M13" s="344">
        <v>227240</v>
      </c>
    </row>
    <row r="14" spans="1:13" x14ac:dyDescent="0.25">
      <c r="A14" s="464" t="s">
        <v>85</v>
      </c>
      <c r="B14" s="411">
        <f>960-101</f>
        <v>859</v>
      </c>
      <c r="C14" s="442">
        <f t="shared" si="1"/>
        <v>12885000</v>
      </c>
      <c r="D14" s="762">
        <v>842</v>
      </c>
      <c r="E14" s="762">
        <v>9576700</v>
      </c>
      <c r="F14" s="383"/>
      <c r="G14" s="384">
        <f t="shared" si="2"/>
        <v>0</v>
      </c>
      <c r="H14" s="743">
        <v>37</v>
      </c>
      <c r="I14" s="1075">
        <v>201000</v>
      </c>
      <c r="J14" s="723">
        <v>700</v>
      </c>
      <c r="K14" s="730">
        <f t="shared" si="3"/>
        <v>1092000</v>
      </c>
      <c r="L14" s="345">
        <v>637</v>
      </c>
      <c r="M14" s="344">
        <v>306397</v>
      </c>
    </row>
    <row r="15" spans="1:13" x14ac:dyDescent="0.25">
      <c r="A15" s="464" t="s">
        <v>86</v>
      </c>
      <c r="B15" s="411">
        <v>532</v>
      </c>
      <c r="C15" s="442">
        <f t="shared" si="1"/>
        <v>7980000</v>
      </c>
      <c r="D15" s="762">
        <v>538</v>
      </c>
      <c r="E15" s="762">
        <v>6296300</v>
      </c>
      <c r="F15" s="383"/>
      <c r="G15" s="384">
        <f t="shared" si="2"/>
        <v>0</v>
      </c>
      <c r="H15" s="743"/>
      <c r="I15" s="1075"/>
      <c r="J15" s="723"/>
      <c r="K15" s="730">
        <f t="shared" si="3"/>
        <v>0</v>
      </c>
      <c r="L15" s="345">
        <v>315</v>
      </c>
      <c r="M15" s="344">
        <v>372645</v>
      </c>
    </row>
    <row r="16" spans="1:13" x14ac:dyDescent="0.25">
      <c r="A16" s="464" t="s">
        <v>87</v>
      </c>
      <c r="B16" s="411">
        <f>903-99</f>
        <v>804</v>
      </c>
      <c r="C16" s="442">
        <f t="shared" si="1"/>
        <v>12060000</v>
      </c>
      <c r="D16" s="762">
        <v>788</v>
      </c>
      <c r="E16" s="762">
        <v>9470100</v>
      </c>
      <c r="F16" s="383"/>
      <c r="G16" s="384">
        <f t="shared" si="2"/>
        <v>0</v>
      </c>
      <c r="H16" s="743"/>
      <c r="I16" s="1075"/>
      <c r="J16" s="723">
        <v>995</v>
      </c>
      <c r="K16" s="730">
        <f t="shared" si="3"/>
        <v>1552200</v>
      </c>
      <c r="L16" s="345">
        <v>1370</v>
      </c>
      <c r="M16" s="344">
        <v>338390</v>
      </c>
    </row>
    <row r="17" spans="1:13" x14ac:dyDescent="0.25">
      <c r="A17" s="464" t="s">
        <v>88</v>
      </c>
      <c r="B17" s="411">
        <v>1093</v>
      </c>
      <c r="C17" s="442">
        <f t="shared" si="1"/>
        <v>16395000</v>
      </c>
      <c r="D17" s="762">
        <v>1113</v>
      </c>
      <c r="E17" s="762">
        <v>12465300</v>
      </c>
      <c r="F17" s="383">
        <v>150</v>
      </c>
      <c r="G17" s="384">
        <f t="shared" si="2"/>
        <v>1500000</v>
      </c>
      <c r="H17" s="743">
        <v>10</v>
      </c>
      <c r="I17" s="1075">
        <v>70000</v>
      </c>
      <c r="J17" s="723">
        <v>800</v>
      </c>
      <c r="K17" s="730">
        <f t="shared" si="3"/>
        <v>1248000</v>
      </c>
      <c r="L17" s="345"/>
      <c r="M17" s="344"/>
    </row>
    <row r="18" spans="1:13" x14ac:dyDescent="0.25">
      <c r="A18" s="464" t="s">
        <v>89</v>
      </c>
      <c r="B18" s="411">
        <f>1687-153</f>
        <v>1534</v>
      </c>
      <c r="C18" s="442">
        <f t="shared" si="1"/>
        <v>23010000</v>
      </c>
      <c r="D18" s="762">
        <v>1525</v>
      </c>
      <c r="E18" s="762">
        <v>17012200</v>
      </c>
      <c r="F18" s="383">
        <v>391</v>
      </c>
      <c r="G18" s="384">
        <f t="shared" si="2"/>
        <v>3910000</v>
      </c>
      <c r="H18" s="743">
        <v>140</v>
      </c>
      <c r="I18" s="1075">
        <v>701000</v>
      </c>
      <c r="J18" s="731"/>
      <c r="K18" s="730">
        <f t="shared" si="3"/>
        <v>0</v>
      </c>
      <c r="L18" s="345"/>
      <c r="M18" s="344"/>
    </row>
    <row r="19" spans="1:13" x14ac:dyDescent="0.25">
      <c r="A19" s="464" t="s">
        <v>90</v>
      </c>
      <c r="B19" s="411">
        <v>1137</v>
      </c>
      <c r="C19" s="442">
        <f t="shared" si="1"/>
        <v>17055000</v>
      </c>
      <c r="D19" s="762">
        <v>1122</v>
      </c>
      <c r="E19" s="762">
        <v>13207600</v>
      </c>
      <c r="F19" s="383">
        <v>200</v>
      </c>
      <c r="G19" s="384">
        <f t="shared" si="2"/>
        <v>2000000</v>
      </c>
      <c r="H19" s="30">
        <v>22</v>
      </c>
      <c r="I19" s="384">
        <v>120000</v>
      </c>
      <c r="J19" s="731">
        <v>1008</v>
      </c>
      <c r="K19" s="730">
        <f t="shared" si="3"/>
        <v>1572480</v>
      </c>
      <c r="L19" s="345"/>
      <c r="M19" s="344"/>
    </row>
    <row r="21" spans="1:13" s="507" customFormat="1" ht="32.25" customHeight="1" x14ac:dyDescent="0.25">
      <c r="A21" s="906" t="s">
        <v>3</v>
      </c>
      <c r="B21" s="896" t="s">
        <v>16</v>
      </c>
      <c r="C21" s="897"/>
      <c r="D21" s="897"/>
      <c r="E21" s="898"/>
      <c r="F21" s="913" t="s">
        <v>421</v>
      </c>
      <c r="G21" s="914"/>
      <c r="H21" s="914"/>
      <c r="I21" s="915"/>
      <c r="J21" s="896" t="s">
        <v>424</v>
      </c>
      <c r="K21" s="897"/>
      <c r="L21" s="897"/>
      <c r="M21" s="898"/>
    </row>
    <row r="22" spans="1:13" ht="25.5" customHeight="1" x14ac:dyDescent="0.25">
      <c r="A22" s="906"/>
      <c r="B22" s="899" t="s">
        <v>327</v>
      </c>
      <c r="C22" s="899"/>
      <c r="D22" s="900" t="s">
        <v>333</v>
      </c>
      <c r="E22" s="901"/>
      <c r="F22" s="899" t="s">
        <v>327</v>
      </c>
      <c r="G22" s="899"/>
      <c r="H22" s="900" t="s">
        <v>333</v>
      </c>
      <c r="I22" s="901"/>
      <c r="J22" s="899" t="s">
        <v>327</v>
      </c>
      <c r="K22" s="899"/>
      <c r="L22" s="900" t="s">
        <v>333</v>
      </c>
      <c r="M22" s="901"/>
    </row>
    <row r="23" spans="1:13" ht="45" customHeight="1" x14ac:dyDescent="0.25">
      <c r="A23" s="906"/>
      <c r="B23" s="479" t="s">
        <v>330</v>
      </c>
      <c r="C23" s="476" t="s">
        <v>60</v>
      </c>
      <c r="D23" s="479" t="s">
        <v>330</v>
      </c>
      <c r="E23" s="17" t="s">
        <v>305</v>
      </c>
      <c r="F23" s="479" t="s">
        <v>253</v>
      </c>
      <c r="G23" s="476" t="s">
        <v>60</v>
      </c>
      <c r="H23" s="479" t="s">
        <v>253</v>
      </c>
      <c r="I23" s="17" t="s">
        <v>305</v>
      </c>
      <c r="J23" s="479" t="s">
        <v>310</v>
      </c>
      <c r="K23" s="476" t="s">
        <v>60</v>
      </c>
      <c r="L23" s="479" t="s">
        <v>310</v>
      </c>
      <c r="M23" s="17" t="s">
        <v>305</v>
      </c>
    </row>
    <row r="24" spans="1:13" x14ac:dyDescent="0.25">
      <c r="A24" s="349" t="s">
        <v>81</v>
      </c>
      <c r="B24" s="477">
        <f>SUM(B25:B32)</f>
        <v>2386</v>
      </c>
      <c r="C24" s="351">
        <f t="shared" ref="C24:K24" si="4">SUM(C25:C32)</f>
        <v>14316000</v>
      </c>
      <c r="D24" s="477">
        <f>SUM(D25:D32)</f>
        <v>2852</v>
      </c>
      <c r="E24" s="351">
        <f>SUM(E25:E32)</f>
        <v>17112000</v>
      </c>
      <c r="F24" s="477">
        <f t="shared" si="4"/>
        <v>23</v>
      </c>
      <c r="G24" s="351">
        <f t="shared" si="4"/>
        <v>18954150</v>
      </c>
      <c r="H24" s="477">
        <f>SUM(H25:H32)</f>
        <v>0</v>
      </c>
      <c r="I24" s="351">
        <f>SUM(I25:I32)</f>
        <v>0</v>
      </c>
      <c r="J24" s="350">
        <f t="shared" si="4"/>
        <v>0</v>
      </c>
      <c r="K24" s="350">
        <f t="shared" si="4"/>
        <v>0</v>
      </c>
      <c r="L24" s="477">
        <f>SUM(L25:L33)</f>
        <v>1575</v>
      </c>
      <c r="M24" s="516">
        <f>SUM(M25:M33)</f>
        <v>4742000</v>
      </c>
    </row>
    <row r="25" spans="1:13" x14ac:dyDescent="0.25">
      <c r="A25" s="464" t="s">
        <v>83</v>
      </c>
      <c r="B25" s="726">
        <v>286</v>
      </c>
      <c r="C25" s="730">
        <f>B25*500*12</f>
        <v>1716000</v>
      </c>
      <c r="D25" s="101">
        <v>295</v>
      </c>
      <c r="E25" s="648">
        <f>D25*6000</f>
        <v>1770000</v>
      </c>
      <c r="F25" s="30">
        <v>3</v>
      </c>
      <c r="G25" s="384">
        <v>1500000</v>
      </c>
      <c r="H25" s="30"/>
      <c r="I25" s="37"/>
      <c r="J25" s="30"/>
      <c r="K25" s="37"/>
      <c r="L25" s="753">
        <v>561</v>
      </c>
      <c r="M25" s="740">
        <v>1774400</v>
      </c>
    </row>
    <row r="26" spans="1:13" x14ac:dyDescent="0.25">
      <c r="A26" s="464" t="s">
        <v>84</v>
      </c>
      <c r="B26" s="726">
        <v>387</v>
      </c>
      <c r="C26" s="730">
        <f t="shared" ref="C26:C32" si="5">B26*500*12</f>
        <v>2322000</v>
      </c>
      <c r="D26" s="647">
        <v>472</v>
      </c>
      <c r="E26" s="648">
        <f t="shared" ref="E26:E32" si="6">D26*6000</f>
        <v>2832000</v>
      </c>
      <c r="F26" s="30">
        <v>4</v>
      </c>
      <c r="G26" s="384">
        <v>2000000</v>
      </c>
      <c r="H26" s="30"/>
      <c r="I26" s="37"/>
      <c r="J26" s="30"/>
      <c r="K26" s="37"/>
      <c r="L26" s="753">
        <v>40</v>
      </c>
      <c r="M26" s="740">
        <v>144500</v>
      </c>
    </row>
    <row r="27" spans="1:13" x14ac:dyDescent="0.25">
      <c r="A27" s="464" t="s">
        <v>85</v>
      </c>
      <c r="B27" s="726">
        <v>278</v>
      </c>
      <c r="C27" s="730">
        <f t="shared" si="5"/>
        <v>1668000</v>
      </c>
      <c r="D27" s="101">
        <v>344</v>
      </c>
      <c r="E27" s="648">
        <f t="shared" si="6"/>
        <v>2064000</v>
      </c>
      <c r="F27" s="30">
        <v>4</v>
      </c>
      <c r="G27" s="384">
        <f>607600+434000+868000+1736000</f>
        <v>3645600</v>
      </c>
      <c r="H27" s="30"/>
      <c r="I27" s="37"/>
      <c r="J27" s="30"/>
      <c r="K27" s="37"/>
      <c r="L27" s="753">
        <v>151</v>
      </c>
      <c r="M27" s="740">
        <v>351500</v>
      </c>
    </row>
    <row r="28" spans="1:13" x14ac:dyDescent="0.25">
      <c r="A28" s="464" t="s">
        <v>86</v>
      </c>
      <c r="B28" s="726">
        <v>287</v>
      </c>
      <c r="C28" s="730">
        <f t="shared" si="5"/>
        <v>1722000</v>
      </c>
      <c r="D28" s="101">
        <v>257</v>
      </c>
      <c r="E28" s="648">
        <f t="shared" si="6"/>
        <v>1542000</v>
      </c>
      <c r="F28" s="30">
        <v>2</v>
      </c>
      <c r="G28" s="384">
        <v>2000000</v>
      </c>
      <c r="H28" s="30"/>
      <c r="I28" s="37"/>
      <c r="J28" s="30"/>
      <c r="K28" s="37"/>
      <c r="L28" s="753">
        <v>81</v>
      </c>
      <c r="M28" s="740">
        <v>268000</v>
      </c>
    </row>
    <row r="29" spans="1:13" x14ac:dyDescent="0.25">
      <c r="A29" s="464" t="s">
        <v>87</v>
      </c>
      <c r="B29" s="726">
        <v>287</v>
      </c>
      <c r="C29" s="730">
        <f t="shared" si="5"/>
        <v>1722000</v>
      </c>
      <c r="D29" s="101">
        <v>416</v>
      </c>
      <c r="E29" s="648">
        <f t="shared" si="6"/>
        <v>2496000</v>
      </c>
      <c r="F29" s="30">
        <f>4</f>
        <v>4</v>
      </c>
      <c r="G29" s="384">
        <f>1529400+849600+529550+425000</f>
        <v>3333550</v>
      </c>
      <c r="H29" s="30"/>
      <c r="I29" s="37"/>
      <c r="J29" s="30"/>
      <c r="K29" s="37"/>
      <c r="L29" s="753">
        <v>210</v>
      </c>
      <c r="M29" s="740">
        <v>623500</v>
      </c>
    </row>
    <row r="30" spans="1:13" x14ac:dyDescent="0.25">
      <c r="A30" s="464" t="s">
        <v>88</v>
      </c>
      <c r="B30" s="726">
        <v>270</v>
      </c>
      <c r="C30" s="730">
        <f t="shared" si="5"/>
        <v>1620000</v>
      </c>
      <c r="D30" s="101">
        <v>379</v>
      </c>
      <c r="E30" s="648">
        <f t="shared" si="6"/>
        <v>2274000</v>
      </c>
      <c r="F30" s="30">
        <v>1</v>
      </c>
      <c r="G30" s="384">
        <v>760000</v>
      </c>
      <c r="H30" s="30"/>
      <c r="I30" s="37"/>
      <c r="J30" s="30"/>
      <c r="K30" s="37"/>
      <c r="L30" s="753">
        <v>27</v>
      </c>
      <c r="M30" s="740">
        <v>83500</v>
      </c>
    </row>
    <row r="31" spans="1:13" x14ac:dyDescent="0.25">
      <c r="A31" s="464" t="s">
        <v>89</v>
      </c>
      <c r="B31" s="726">
        <v>301</v>
      </c>
      <c r="C31" s="730">
        <f t="shared" si="5"/>
        <v>1806000</v>
      </c>
      <c r="D31" s="101">
        <v>302</v>
      </c>
      <c r="E31" s="648">
        <f t="shared" si="6"/>
        <v>1812000</v>
      </c>
      <c r="F31" s="79">
        <v>2</v>
      </c>
      <c r="G31" s="732">
        <f>1645000+1000000</f>
        <v>2645000</v>
      </c>
      <c r="H31" s="30"/>
      <c r="I31" s="37"/>
      <c r="J31" s="30"/>
      <c r="K31" s="37"/>
      <c r="L31" s="753">
        <v>187</v>
      </c>
      <c r="M31" s="740">
        <v>559200</v>
      </c>
    </row>
    <row r="32" spans="1:13" ht="15.75" customHeight="1" x14ac:dyDescent="0.25">
      <c r="A32" s="464" t="s">
        <v>90</v>
      </c>
      <c r="B32" s="726">
        <v>290</v>
      </c>
      <c r="C32" s="730">
        <f t="shared" si="5"/>
        <v>1740000</v>
      </c>
      <c r="D32" s="647">
        <v>387</v>
      </c>
      <c r="E32" s="648">
        <f t="shared" si="6"/>
        <v>2322000</v>
      </c>
      <c r="F32" s="79">
        <v>3</v>
      </c>
      <c r="G32" s="732">
        <v>3070000</v>
      </c>
      <c r="H32" s="30"/>
      <c r="I32" s="37"/>
      <c r="J32" s="30"/>
      <c r="K32" s="37"/>
      <c r="L32" s="753">
        <v>317</v>
      </c>
      <c r="M32" s="740">
        <v>932400</v>
      </c>
    </row>
    <row r="33" spans="1:13" ht="26.25" customHeight="1" x14ac:dyDescent="0.25">
      <c r="A33" s="515" t="s">
        <v>384</v>
      </c>
      <c r="B33" s="30"/>
      <c r="C33" s="484"/>
      <c r="D33" s="30"/>
      <c r="E33" s="484"/>
      <c r="F33" s="30"/>
      <c r="G33" s="654"/>
      <c r="H33" s="30"/>
      <c r="I33" s="517"/>
      <c r="J33" s="30"/>
      <c r="K33" s="517"/>
      <c r="L33" s="753">
        <v>1</v>
      </c>
      <c r="M33" s="740">
        <v>5000</v>
      </c>
    </row>
    <row r="35" spans="1:13" s="507" customFormat="1" ht="33.75" customHeight="1" x14ac:dyDescent="0.25">
      <c r="A35" s="906" t="s">
        <v>3</v>
      </c>
      <c r="B35" s="896" t="s">
        <v>417</v>
      </c>
      <c r="C35" s="897"/>
      <c r="D35" s="897"/>
      <c r="E35" s="898"/>
      <c r="F35" s="896" t="s">
        <v>375</v>
      </c>
      <c r="G35" s="897"/>
      <c r="H35" s="897"/>
      <c r="I35" s="898"/>
      <c r="J35" s="896" t="s">
        <v>419</v>
      </c>
      <c r="K35" s="897"/>
      <c r="L35" s="897"/>
      <c r="M35" s="898"/>
    </row>
    <row r="36" spans="1:13" ht="12.75" customHeight="1" x14ac:dyDescent="0.25">
      <c r="A36" s="906"/>
      <c r="B36" s="899" t="s">
        <v>327</v>
      </c>
      <c r="C36" s="899"/>
      <c r="D36" s="900" t="s">
        <v>333</v>
      </c>
      <c r="E36" s="901"/>
      <c r="F36" s="899" t="s">
        <v>327</v>
      </c>
      <c r="G36" s="899"/>
      <c r="H36" s="900" t="s">
        <v>333</v>
      </c>
      <c r="I36" s="901"/>
      <c r="J36" s="899" t="s">
        <v>327</v>
      </c>
      <c r="K36" s="899"/>
      <c r="L36" s="900" t="s">
        <v>333</v>
      </c>
      <c r="M36" s="901"/>
    </row>
    <row r="37" spans="1:13" ht="45" customHeight="1" x14ac:dyDescent="0.25">
      <c r="A37" s="906"/>
      <c r="B37" s="483" t="s">
        <v>308</v>
      </c>
      <c r="C37" s="476" t="s">
        <v>60</v>
      </c>
      <c r="D37" s="483" t="s">
        <v>332</v>
      </c>
      <c r="E37" s="17" t="s">
        <v>305</v>
      </c>
      <c r="F37" s="483" t="s">
        <v>308</v>
      </c>
      <c r="G37" s="476" t="s">
        <v>60</v>
      </c>
      <c r="H37" s="483" t="s">
        <v>253</v>
      </c>
      <c r="I37" s="17" t="s">
        <v>305</v>
      </c>
      <c r="J37" s="634" t="s">
        <v>308</v>
      </c>
      <c r="K37" s="633" t="s">
        <v>60</v>
      </c>
      <c r="L37" s="634" t="s">
        <v>253</v>
      </c>
      <c r="M37" s="17" t="s">
        <v>305</v>
      </c>
    </row>
    <row r="38" spans="1:13" x14ac:dyDescent="0.25">
      <c r="A38" s="349" t="s">
        <v>81</v>
      </c>
      <c r="B38" s="477">
        <f t="shared" ref="B38:I38" si="7">SUM(B39:B46)</f>
        <v>0</v>
      </c>
      <c r="C38" s="351">
        <f t="shared" si="7"/>
        <v>0</v>
      </c>
      <c r="D38" s="477">
        <f t="shared" si="7"/>
        <v>2</v>
      </c>
      <c r="E38" s="351">
        <f t="shared" si="7"/>
        <v>8000</v>
      </c>
      <c r="F38" s="477">
        <f t="shared" si="7"/>
        <v>0</v>
      </c>
      <c r="G38" s="351">
        <f t="shared" si="7"/>
        <v>0</v>
      </c>
      <c r="H38" s="477">
        <f t="shared" si="7"/>
        <v>0</v>
      </c>
      <c r="I38" s="351">
        <f t="shared" si="7"/>
        <v>0</v>
      </c>
      <c r="J38" s="477">
        <f t="shared" ref="J38:M38" si="8">SUM(J39:J46)</f>
        <v>0</v>
      </c>
      <c r="K38" s="350">
        <f t="shared" si="8"/>
        <v>0</v>
      </c>
      <c r="L38" s="477">
        <f t="shared" si="8"/>
        <v>0</v>
      </c>
      <c r="M38" s="351">
        <f t="shared" si="8"/>
        <v>0</v>
      </c>
    </row>
    <row r="39" spans="1:13" x14ac:dyDescent="0.25">
      <c r="A39" s="483" t="s">
        <v>83</v>
      </c>
      <c r="B39" s="30"/>
      <c r="C39" s="484"/>
      <c r="D39" s="739">
        <v>1</v>
      </c>
      <c r="E39" s="740">
        <v>5000</v>
      </c>
      <c r="F39" s="30"/>
      <c r="G39" s="654"/>
      <c r="H39" s="30"/>
      <c r="I39" s="37"/>
      <c r="J39" s="30"/>
      <c r="K39" s="31"/>
      <c r="L39" s="30"/>
      <c r="M39" s="637"/>
    </row>
    <row r="40" spans="1:13" x14ac:dyDescent="0.25">
      <c r="A40" s="483" t="s">
        <v>84</v>
      </c>
      <c r="B40" s="30"/>
      <c r="C40" s="484"/>
      <c r="D40" s="739"/>
      <c r="E40" s="740"/>
      <c r="F40" s="30"/>
      <c r="G40" s="654"/>
      <c r="H40" s="30"/>
      <c r="I40" s="37"/>
      <c r="J40" s="30"/>
      <c r="K40" s="31"/>
      <c r="L40" s="30"/>
      <c r="M40" s="637"/>
    </row>
    <row r="41" spans="1:13" x14ac:dyDescent="0.25">
      <c r="A41" s="483" t="s">
        <v>85</v>
      </c>
      <c r="B41" s="30"/>
      <c r="C41" s="484"/>
      <c r="D41" s="739"/>
      <c r="E41" s="740"/>
      <c r="F41" s="30"/>
      <c r="G41" s="654"/>
      <c r="H41" s="30"/>
      <c r="I41" s="37"/>
      <c r="J41" s="30"/>
      <c r="K41" s="31"/>
      <c r="L41" s="30"/>
      <c r="M41" s="637"/>
    </row>
    <row r="42" spans="1:13" x14ac:dyDescent="0.25">
      <c r="A42" s="483" t="s">
        <v>86</v>
      </c>
      <c r="B42" s="30"/>
      <c r="C42" s="484"/>
      <c r="D42" s="739">
        <v>1</v>
      </c>
      <c r="E42" s="740">
        <v>3000</v>
      </c>
      <c r="F42" s="30"/>
      <c r="G42" s="654"/>
      <c r="H42" s="30"/>
      <c r="I42" s="37"/>
      <c r="J42" s="30"/>
      <c r="K42" s="31"/>
      <c r="L42" s="30"/>
      <c r="M42" s="637"/>
    </row>
    <row r="43" spans="1:13" x14ac:dyDescent="0.25">
      <c r="A43" s="483" t="s">
        <v>87</v>
      </c>
      <c r="B43" s="30"/>
      <c r="C43" s="484"/>
      <c r="D43" s="739"/>
      <c r="E43" s="740"/>
      <c r="F43" s="30"/>
      <c r="G43" s="654"/>
      <c r="H43" s="30"/>
      <c r="I43" s="37"/>
      <c r="J43" s="30"/>
      <c r="K43" s="31"/>
      <c r="L43" s="30"/>
      <c r="M43" s="637"/>
    </row>
    <row r="44" spans="1:13" x14ac:dyDescent="0.25">
      <c r="A44" s="483" t="s">
        <v>88</v>
      </c>
      <c r="B44" s="30"/>
      <c r="C44" s="484"/>
      <c r="D44" s="739"/>
      <c r="E44" s="740"/>
      <c r="F44" s="30"/>
      <c r="G44" s="654"/>
      <c r="H44" s="30"/>
      <c r="I44" s="37"/>
      <c r="J44" s="30"/>
      <c r="K44" s="31"/>
      <c r="L44" s="30"/>
      <c r="M44" s="637"/>
    </row>
    <row r="45" spans="1:13" x14ac:dyDescent="0.25">
      <c r="A45" s="483" t="s">
        <v>89</v>
      </c>
      <c r="B45" s="30"/>
      <c r="C45" s="484"/>
      <c r="D45" s="739"/>
      <c r="E45" s="740"/>
      <c r="F45" s="30"/>
      <c r="G45" s="654"/>
      <c r="H45" s="30"/>
      <c r="I45" s="37"/>
      <c r="J45" s="30"/>
      <c r="K45" s="31"/>
      <c r="L45" s="30"/>
      <c r="M45" s="637"/>
    </row>
    <row r="46" spans="1:13" x14ac:dyDescent="0.25">
      <c r="A46" s="483" t="s">
        <v>90</v>
      </c>
      <c r="B46" s="30"/>
      <c r="C46" s="484"/>
      <c r="D46" s="739"/>
      <c r="E46" s="740"/>
      <c r="F46" s="30"/>
      <c r="G46" s="654"/>
      <c r="H46" s="30"/>
      <c r="I46" s="37"/>
      <c r="J46" s="30"/>
      <c r="K46" s="31"/>
      <c r="L46" s="30"/>
      <c r="M46" s="637"/>
    </row>
    <row r="47" spans="1:13" x14ac:dyDescent="0.25">
      <c r="A47" s="275" t="s">
        <v>388</v>
      </c>
      <c r="B47" s="275"/>
      <c r="C47" s="344"/>
      <c r="D47" s="344"/>
      <c r="E47" s="344"/>
      <c r="F47" s="275"/>
      <c r="G47" s="344"/>
      <c r="H47" s="275"/>
      <c r="I47" s="344"/>
      <c r="J47" s="275"/>
      <c r="K47" s="275"/>
      <c r="L47" s="275"/>
      <c r="M47" s="344"/>
    </row>
    <row r="49" spans="5:9" x14ac:dyDescent="0.25">
      <c r="E49" s="906" t="s">
        <v>3</v>
      </c>
      <c r="F49" s="896" t="s">
        <v>81</v>
      </c>
      <c r="G49" s="897"/>
      <c r="H49" s="897"/>
      <c r="I49" s="898"/>
    </row>
    <row r="50" spans="5:9" x14ac:dyDescent="0.25">
      <c r="E50" s="906"/>
      <c r="F50" s="907" t="s">
        <v>60</v>
      </c>
      <c r="G50" s="908"/>
      <c r="H50" s="907" t="s">
        <v>305</v>
      </c>
      <c r="I50" s="908"/>
    </row>
    <row r="51" spans="5:9" x14ac:dyDescent="0.25">
      <c r="E51" s="906"/>
      <c r="F51" s="909"/>
      <c r="G51" s="910"/>
      <c r="H51" s="909"/>
      <c r="I51" s="910"/>
    </row>
    <row r="52" spans="5:9" x14ac:dyDescent="0.25">
      <c r="E52" s="638" t="s">
        <v>81</v>
      </c>
      <c r="F52" s="904">
        <v>149951872</v>
      </c>
      <c r="G52" s="905"/>
      <c r="H52" s="904">
        <f>SUM(H53:I61)</f>
        <v>120795488</v>
      </c>
      <c r="I52" s="905"/>
    </row>
    <row r="53" spans="5:9" x14ac:dyDescent="0.25">
      <c r="E53" s="634" t="s">
        <v>83</v>
      </c>
      <c r="F53" s="902">
        <f t="shared" ref="F53:F61" si="9">C12+G12+K12+C25+G25+K25+C39+G39+K39</f>
        <v>21787320</v>
      </c>
      <c r="G53" s="903"/>
      <c r="H53" s="902">
        <f t="shared" ref="H53:H61" si="10">E12+I12+M12+E25+I25+M25+E39+I39+M39</f>
        <v>16501816</v>
      </c>
      <c r="I53" s="903"/>
    </row>
    <row r="54" spans="5:9" x14ac:dyDescent="0.25">
      <c r="E54" s="634" t="s">
        <v>84</v>
      </c>
      <c r="F54" s="902">
        <f t="shared" si="9"/>
        <v>27259000</v>
      </c>
      <c r="G54" s="903"/>
      <c r="H54" s="902">
        <f t="shared" si="10"/>
        <v>18819940</v>
      </c>
      <c r="I54" s="903"/>
    </row>
    <row r="55" spans="5:9" x14ac:dyDescent="0.25">
      <c r="E55" s="634" t="s">
        <v>85</v>
      </c>
      <c r="F55" s="902">
        <f t="shared" si="9"/>
        <v>19290600</v>
      </c>
      <c r="G55" s="903"/>
      <c r="H55" s="902">
        <f t="shared" si="10"/>
        <v>12499597</v>
      </c>
      <c r="I55" s="903"/>
    </row>
    <row r="56" spans="5:9" x14ac:dyDescent="0.25">
      <c r="E56" s="634" t="s">
        <v>86</v>
      </c>
      <c r="F56" s="902">
        <f t="shared" si="9"/>
        <v>11702000</v>
      </c>
      <c r="G56" s="903"/>
      <c r="H56" s="902">
        <f t="shared" si="10"/>
        <v>8481945</v>
      </c>
      <c r="I56" s="903"/>
    </row>
    <row r="57" spans="5:9" x14ac:dyDescent="0.25">
      <c r="E57" s="634" t="s">
        <v>87</v>
      </c>
      <c r="F57" s="902">
        <f t="shared" si="9"/>
        <v>18667750</v>
      </c>
      <c r="G57" s="903"/>
      <c r="H57" s="902">
        <f t="shared" si="10"/>
        <v>12927990</v>
      </c>
      <c r="I57" s="903"/>
    </row>
    <row r="58" spans="5:9" x14ac:dyDescent="0.25">
      <c r="E58" s="634" t="s">
        <v>88</v>
      </c>
      <c r="F58" s="902">
        <f t="shared" si="9"/>
        <v>21523000</v>
      </c>
      <c r="G58" s="903"/>
      <c r="H58" s="902">
        <f t="shared" si="10"/>
        <v>14892800</v>
      </c>
      <c r="I58" s="903"/>
    </row>
    <row r="59" spans="5:9" x14ac:dyDescent="0.25">
      <c r="E59" s="634" t="s">
        <v>89</v>
      </c>
      <c r="F59" s="902">
        <f t="shared" si="9"/>
        <v>31371000</v>
      </c>
      <c r="G59" s="903"/>
      <c r="H59" s="902">
        <f t="shared" si="10"/>
        <v>20084400</v>
      </c>
      <c r="I59" s="903"/>
    </row>
    <row r="60" spans="5:9" x14ac:dyDescent="0.25">
      <c r="E60" s="634" t="s">
        <v>90</v>
      </c>
      <c r="F60" s="902">
        <f t="shared" si="9"/>
        <v>25437480</v>
      </c>
      <c r="G60" s="903"/>
      <c r="H60" s="902">
        <f t="shared" si="10"/>
        <v>16582000</v>
      </c>
      <c r="I60" s="903"/>
    </row>
    <row r="61" spans="5:9" x14ac:dyDescent="0.25">
      <c r="E61" s="275" t="s">
        <v>388</v>
      </c>
      <c r="F61" s="902">
        <f t="shared" si="9"/>
        <v>0</v>
      </c>
      <c r="G61" s="903"/>
      <c r="H61" s="902">
        <f t="shared" si="10"/>
        <v>5000</v>
      </c>
      <c r="I61" s="903"/>
    </row>
  </sheetData>
  <mergeCells count="59">
    <mergeCell ref="L22:M22"/>
    <mergeCell ref="B22:C22"/>
    <mergeCell ref="D22:E22"/>
    <mergeCell ref="F22:G22"/>
    <mergeCell ref="H22:I22"/>
    <mergeCell ref="J22:K22"/>
    <mergeCell ref="J8:M8"/>
    <mergeCell ref="J9:K9"/>
    <mergeCell ref="L9:M9"/>
    <mergeCell ref="B21:E21"/>
    <mergeCell ref="F21:I21"/>
    <mergeCell ref="J21:M21"/>
    <mergeCell ref="F50:G51"/>
    <mergeCell ref="H50:I51"/>
    <mergeCell ref="E49:E51"/>
    <mergeCell ref="A1:M1"/>
    <mergeCell ref="A2:M2"/>
    <mergeCell ref="A3:M3"/>
    <mergeCell ref="A5:M5"/>
    <mergeCell ref="A8:A10"/>
    <mergeCell ref="B8:E8"/>
    <mergeCell ref="B9:C9"/>
    <mergeCell ref="D9:E9"/>
    <mergeCell ref="F9:G9"/>
    <mergeCell ref="A6:M6"/>
    <mergeCell ref="A21:A23"/>
    <mergeCell ref="H9:I9"/>
    <mergeCell ref="F8:I8"/>
    <mergeCell ref="A35:A37"/>
    <mergeCell ref="B35:E35"/>
    <mergeCell ref="F35:I35"/>
    <mergeCell ref="F49:I49"/>
    <mergeCell ref="B36:C36"/>
    <mergeCell ref="D36:E36"/>
    <mergeCell ref="F36:G36"/>
    <mergeCell ref="H36:I36"/>
    <mergeCell ref="H55:I55"/>
    <mergeCell ref="H56:I56"/>
    <mergeCell ref="F52:G52"/>
    <mergeCell ref="F53:G53"/>
    <mergeCell ref="F54:G54"/>
    <mergeCell ref="F55:G55"/>
    <mergeCell ref="F56:G56"/>
    <mergeCell ref="J35:M35"/>
    <mergeCell ref="J36:K36"/>
    <mergeCell ref="L36:M36"/>
    <mergeCell ref="F61:G61"/>
    <mergeCell ref="H61:I61"/>
    <mergeCell ref="F57:G57"/>
    <mergeCell ref="F58:G58"/>
    <mergeCell ref="F59:G59"/>
    <mergeCell ref="F60:G60"/>
    <mergeCell ref="H57:I57"/>
    <mergeCell ref="H58:I58"/>
    <mergeCell ref="H59:I59"/>
    <mergeCell ref="H60:I60"/>
    <mergeCell ref="H52:I52"/>
    <mergeCell ref="H53:I53"/>
    <mergeCell ref="H54:I54"/>
  </mergeCells>
  <pageMargins left="0.56000000000000005" right="0.15748031496063" top="0.65" bottom="0" header="0.84" footer="0.31496062992126"/>
  <pageSetup paperSize="9" scale="70" orientation="landscape" r:id="rId1"/>
  <headerFooter>
    <oddFooter>&amp;LPrograms/Projects Implemented 
in the Province of Aurora&amp;CPage &amp;P of &amp;N</oddFooter>
  </headerFooter>
  <rowBreaks count="1" manualBreakCount="1">
    <brk id="34" max="1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283</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928" t="s">
        <v>252</v>
      </c>
      <c r="B8" s="1047" t="s">
        <v>251</v>
      </c>
      <c r="C8" s="224" t="s">
        <v>97</v>
      </c>
      <c r="D8" s="224">
        <f>SUM(D9:D10)</f>
        <v>3</v>
      </c>
      <c r="E8" s="84">
        <f>SUM(E9:E10)</f>
        <v>3083000</v>
      </c>
    </row>
    <row r="9" spans="1:5" s="3" customFormat="1" ht="21.75" customHeight="1" x14ac:dyDescent="0.25">
      <c r="A9" s="928"/>
      <c r="B9" s="1047"/>
      <c r="C9" s="259" t="s">
        <v>188</v>
      </c>
      <c r="D9" s="260">
        <v>1</v>
      </c>
      <c r="E9" s="261">
        <v>2000000</v>
      </c>
    </row>
    <row r="10" spans="1:5" s="3" customFormat="1" ht="54.75" customHeight="1" x14ac:dyDescent="0.25">
      <c r="A10" s="928"/>
      <c r="B10" s="1047"/>
      <c r="C10" s="259" t="s">
        <v>284</v>
      </c>
      <c r="D10" s="260">
        <v>2</v>
      </c>
      <c r="E10" s="261">
        <v>1083000</v>
      </c>
    </row>
    <row r="11" spans="1:5" ht="21" customHeight="1" x14ac:dyDescent="0.3">
      <c r="A11" s="52"/>
      <c r="B11" s="258"/>
      <c r="C11" s="115"/>
      <c r="D11" s="251"/>
      <c r="E11" s="252"/>
    </row>
    <row r="12" spans="1:5" ht="15" customHeight="1" x14ac:dyDescent="0.25">
      <c r="A12" s="52"/>
      <c r="B12" s="258"/>
      <c r="C12" s="115"/>
      <c r="D12" s="251"/>
      <c r="E12" s="252"/>
    </row>
    <row r="13" spans="1:5" x14ac:dyDescent="0.25">
      <c r="A13" t="s">
        <v>27</v>
      </c>
      <c r="B13" t="s">
        <v>29</v>
      </c>
      <c r="D13" t="s">
        <v>32</v>
      </c>
    </row>
    <row r="14" spans="1:5" x14ac:dyDescent="0.25">
      <c r="A14" t="s">
        <v>223</v>
      </c>
      <c r="B14" t="s">
        <v>30</v>
      </c>
      <c r="D14" t="s">
        <v>33</v>
      </c>
    </row>
  </sheetData>
  <mergeCells count="10">
    <mergeCell ref="A8:A10"/>
    <mergeCell ref="B8:B10"/>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election activeCell="A6" sqref="A6:F12"/>
    </sheetView>
  </sheetViews>
  <sheetFormatPr defaultRowHeight="15" x14ac:dyDescent="0.25"/>
  <cols>
    <col min="1" max="1" width="30.85546875" customWidth="1"/>
    <col min="2" max="2" width="42" customWidth="1"/>
    <col min="3" max="3" width="13.42578125" customWidth="1"/>
    <col min="4" max="4" width="18.5703125" customWidth="1"/>
    <col min="5" max="5" width="10.85546875" customWidth="1"/>
    <col min="6" max="6" width="16.4257812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187"/>
      <c r="B3" s="187"/>
      <c r="C3" s="187"/>
      <c r="D3" s="187"/>
      <c r="E3" s="187"/>
      <c r="F3" s="90"/>
      <c r="G3" s="187"/>
      <c r="H3" s="187"/>
    </row>
    <row r="4" spans="1:8" s="47" customFormat="1" ht="15.75" x14ac:dyDescent="0.25">
      <c r="A4" s="844" t="s">
        <v>242</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188" t="s">
        <v>48</v>
      </c>
      <c r="H8" s="188" t="s">
        <v>60</v>
      </c>
    </row>
    <row r="9" spans="1:8" s="12" customFormat="1" ht="20.25" customHeight="1" x14ac:dyDescent="0.25">
      <c r="A9" s="10" t="s">
        <v>14</v>
      </c>
      <c r="B9" s="10"/>
      <c r="C9" s="11"/>
      <c r="D9" s="11"/>
      <c r="E9" s="14"/>
      <c r="F9" s="139">
        <f>F11+F17+F21+F27+F39+F45+F52+F77</f>
        <v>47088419.359999999</v>
      </c>
      <c r="G9" s="11"/>
      <c r="H9" s="139">
        <f>H11+H17+H21+H27+H39+H45+H52+H77</f>
        <v>115835760</v>
      </c>
    </row>
    <row r="10" spans="1:8" s="8" customFormat="1" ht="8.25" customHeight="1" x14ac:dyDescent="0.25">
      <c r="A10" s="7"/>
      <c r="B10" s="7"/>
      <c r="C10" s="7"/>
      <c r="D10" s="7"/>
      <c r="E10" s="7"/>
      <c r="F10" s="93"/>
      <c r="G10" s="7"/>
      <c r="H10" s="7"/>
    </row>
    <row r="11" spans="1:8" s="3" customFormat="1" ht="20.25" customHeight="1" x14ac:dyDescent="0.25">
      <c r="A11" s="869" t="s">
        <v>5</v>
      </c>
      <c r="B11" s="831" t="s">
        <v>50</v>
      </c>
      <c r="C11" s="871" t="s">
        <v>21</v>
      </c>
      <c r="D11" s="70" t="s">
        <v>79</v>
      </c>
      <c r="E11" s="70">
        <f>SUM(E12:E15)</f>
        <v>6249</v>
      </c>
      <c r="F11" s="84">
        <f>SUM(F12:F15)</f>
        <v>34696300</v>
      </c>
      <c r="G11" s="70">
        <f>SUM(G12:G15)</f>
        <v>6491</v>
      </c>
      <c r="H11" s="71">
        <f>SUM(H12:H15)</f>
        <v>97365000</v>
      </c>
    </row>
    <row r="12" spans="1:8" s="3" customFormat="1" ht="20.25" customHeight="1" x14ac:dyDescent="0.25">
      <c r="A12" s="870"/>
      <c r="B12" s="832"/>
      <c r="C12" s="872"/>
      <c r="D12" s="83" t="s">
        <v>190</v>
      </c>
      <c r="E12" s="30">
        <v>941</v>
      </c>
      <c r="F12" s="37">
        <v>5232600</v>
      </c>
      <c r="G12" s="4">
        <v>976</v>
      </c>
      <c r="H12" s="17">
        <v>14640000</v>
      </c>
    </row>
    <row r="13" spans="1:8" s="2" customFormat="1" ht="14.25" customHeight="1" x14ac:dyDescent="0.25">
      <c r="A13" s="870"/>
      <c r="B13" s="832"/>
      <c r="C13" s="872"/>
      <c r="D13" s="83" t="s">
        <v>191</v>
      </c>
      <c r="E13" s="30">
        <v>2066</v>
      </c>
      <c r="F13" s="37">
        <v>11838100</v>
      </c>
      <c r="G13" s="4">
        <v>2206</v>
      </c>
      <c r="H13" s="17">
        <v>33090000</v>
      </c>
    </row>
    <row r="14" spans="1:8" s="2" customFormat="1" ht="14.25" customHeight="1" x14ac:dyDescent="0.25">
      <c r="A14" s="870"/>
      <c r="B14" s="832"/>
      <c r="C14" s="872"/>
      <c r="D14" s="83" t="s">
        <v>192</v>
      </c>
      <c r="E14" s="30">
        <v>1046</v>
      </c>
      <c r="F14" s="37">
        <v>5038600</v>
      </c>
      <c r="G14" s="4">
        <v>1061</v>
      </c>
      <c r="H14" s="17">
        <v>15915000</v>
      </c>
    </row>
    <row r="15" spans="1:8" s="2" customFormat="1" ht="36" customHeight="1" x14ac:dyDescent="0.25">
      <c r="A15" s="873"/>
      <c r="B15" s="832"/>
      <c r="C15" s="875"/>
      <c r="D15" s="195" t="s">
        <v>193</v>
      </c>
      <c r="E15" s="233">
        <v>2196</v>
      </c>
      <c r="F15" s="234">
        <v>12587000</v>
      </c>
      <c r="G15" s="196">
        <v>2248</v>
      </c>
      <c r="H15" s="197">
        <v>33720000</v>
      </c>
    </row>
    <row r="16" spans="1:8" s="8" customFormat="1" ht="8.25" customHeight="1" x14ac:dyDescent="0.25">
      <c r="A16" s="7"/>
      <c r="B16" s="7"/>
      <c r="C16" s="7"/>
      <c r="D16" s="7"/>
      <c r="E16" s="7"/>
      <c r="F16" s="93"/>
      <c r="G16" s="7"/>
      <c r="H16" s="7"/>
    </row>
    <row r="17" spans="1:8" s="9" customFormat="1" ht="18.75" customHeight="1" x14ac:dyDescent="0.25">
      <c r="A17" s="869" t="s">
        <v>61</v>
      </c>
      <c r="B17" s="831" t="s">
        <v>62</v>
      </c>
      <c r="C17" s="871" t="s">
        <v>21</v>
      </c>
      <c r="D17" s="70" t="s">
        <v>79</v>
      </c>
      <c r="E17" s="70">
        <f>SUM(E18:E19)</f>
        <v>182</v>
      </c>
      <c r="F17" s="84">
        <f>SUM(F18:F19)</f>
        <v>1008400</v>
      </c>
      <c r="G17" s="70">
        <f>SUM(G18:G19)</f>
        <v>0</v>
      </c>
      <c r="H17" s="71">
        <f>SUM(H18:H19)</f>
        <v>0</v>
      </c>
    </row>
    <row r="18" spans="1:8" s="3" customFormat="1" ht="18.75" customHeight="1" x14ac:dyDescent="0.25">
      <c r="A18" s="870"/>
      <c r="B18" s="832"/>
      <c r="C18" s="872"/>
      <c r="D18" s="83" t="s">
        <v>191</v>
      </c>
      <c r="E18" s="30">
        <v>138</v>
      </c>
      <c r="F18" s="37">
        <v>799600</v>
      </c>
      <c r="G18" s="4"/>
      <c r="H18" s="17"/>
    </row>
    <row r="19" spans="1:8" s="2" customFormat="1" ht="60" customHeight="1" x14ac:dyDescent="0.25">
      <c r="A19" s="870"/>
      <c r="B19" s="832"/>
      <c r="C19" s="872"/>
      <c r="D19" s="195" t="s">
        <v>192</v>
      </c>
      <c r="E19" s="233">
        <v>44</v>
      </c>
      <c r="F19" s="234">
        <v>208800</v>
      </c>
      <c r="G19" s="196"/>
      <c r="H19" s="197"/>
    </row>
    <row r="20" spans="1:8" s="8" customFormat="1" ht="8.25" customHeight="1" x14ac:dyDescent="0.25">
      <c r="A20" s="7"/>
      <c r="B20" s="7"/>
      <c r="C20" s="7"/>
      <c r="D20" s="7"/>
      <c r="E20" s="7"/>
      <c r="F20" s="93"/>
      <c r="G20" s="7"/>
      <c r="H20" s="7"/>
    </row>
    <row r="21" spans="1:8" s="9" customFormat="1" ht="17.25" customHeight="1" x14ac:dyDescent="0.25">
      <c r="A21" s="869" t="s">
        <v>7</v>
      </c>
      <c r="B21" s="867" t="s">
        <v>52</v>
      </c>
      <c r="C21" s="871" t="s">
        <v>53</v>
      </c>
      <c r="D21" s="70" t="s">
        <v>79</v>
      </c>
      <c r="E21" s="70">
        <f>SUM(E22:E25)</f>
        <v>98</v>
      </c>
      <c r="F21" s="84">
        <f>SUM(F22:F25)</f>
        <v>765000</v>
      </c>
      <c r="G21" s="70">
        <f>SUM(G22:G25)</f>
        <v>200</v>
      </c>
      <c r="H21" s="71">
        <f>SUM(H22:H25)</f>
        <v>1200000</v>
      </c>
    </row>
    <row r="22" spans="1:8" s="3" customFormat="1" ht="19.5" customHeight="1" x14ac:dyDescent="0.25">
      <c r="A22" s="870"/>
      <c r="B22" s="868"/>
      <c r="C22" s="872"/>
      <c r="D22" s="83" t="s">
        <v>190</v>
      </c>
      <c r="E22" s="30"/>
      <c r="F22" s="37"/>
      <c r="G22" s="4">
        <v>50</v>
      </c>
      <c r="H22" s="17">
        <v>300000</v>
      </c>
    </row>
    <row r="23" spans="1:8" s="2" customFormat="1" ht="14.25" customHeight="1" x14ac:dyDescent="0.25">
      <c r="A23" s="870"/>
      <c r="B23" s="868"/>
      <c r="C23" s="872"/>
      <c r="D23" s="83" t="s">
        <v>191</v>
      </c>
      <c r="E23" s="30">
        <f>28</f>
        <v>28</v>
      </c>
      <c r="F23" s="37">
        <f>235000</f>
        <v>235000</v>
      </c>
      <c r="G23" s="4">
        <v>50</v>
      </c>
      <c r="H23" s="17">
        <v>300000</v>
      </c>
    </row>
    <row r="24" spans="1:8" s="2" customFormat="1" ht="14.25" customHeight="1" x14ac:dyDescent="0.25">
      <c r="A24" s="870"/>
      <c r="B24" s="868"/>
      <c r="C24" s="872"/>
      <c r="D24" s="83" t="s">
        <v>192</v>
      </c>
      <c r="E24" s="30">
        <f>20+50</f>
        <v>70</v>
      </c>
      <c r="F24" s="37">
        <f>150000+380000</f>
        <v>530000</v>
      </c>
      <c r="G24" s="4">
        <v>50</v>
      </c>
      <c r="H24" s="17">
        <v>300000</v>
      </c>
    </row>
    <row r="25" spans="1:8" s="2" customFormat="1" ht="50.25" customHeight="1" x14ac:dyDescent="0.25">
      <c r="A25" s="870"/>
      <c r="B25" s="868"/>
      <c r="C25" s="872"/>
      <c r="D25" s="195" t="s">
        <v>193</v>
      </c>
      <c r="E25" s="30"/>
      <c r="F25" s="37"/>
      <c r="G25" s="196">
        <v>50</v>
      </c>
      <c r="H25" s="197">
        <v>300000</v>
      </c>
    </row>
    <row r="26" spans="1:8" s="8" customFormat="1" ht="8.25" customHeight="1" x14ac:dyDescent="0.25">
      <c r="A26" s="7"/>
      <c r="B26" s="7"/>
      <c r="C26" s="7"/>
      <c r="D26" s="7"/>
      <c r="E26" s="7"/>
      <c r="F26" s="93"/>
      <c r="G26" s="7"/>
      <c r="H26" s="7"/>
    </row>
    <row r="27" spans="1:8" s="9" customFormat="1" ht="20.25" customHeight="1" x14ac:dyDescent="0.25">
      <c r="A27" s="869" t="s">
        <v>6</v>
      </c>
      <c r="B27" s="867" t="s">
        <v>54</v>
      </c>
      <c r="C27" s="869" t="s">
        <v>20</v>
      </c>
      <c r="D27" s="70" t="s">
        <v>79</v>
      </c>
      <c r="E27" s="70">
        <f>SUM(E28:E31)</f>
        <v>5808</v>
      </c>
      <c r="F27" s="84">
        <f>SUM(F28:F31)</f>
        <v>7145950</v>
      </c>
      <c r="G27" s="70">
        <f>SUM(G28:G31)</f>
        <v>7471</v>
      </c>
      <c r="H27" s="71">
        <f>SUM(H28:H31)</f>
        <v>11654760</v>
      </c>
    </row>
    <row r="28" spans="1:8" s="3" customFormat="1" ht="15.75" customHeight="1" x14ac:dyDescent="0.25">
      <c r="A28" s="870"/>
      <c r="B28" s="868"/>
      <c r="C28" s="870"/>
      <c r="D28" s="83" t="s">
        <v>190</v>
      </c>
      <c r="E28" s="30">
        <v>663</v>
      </c>
      <c r="F28" s="37" t="s">
        <v>205</v>
      </c>
      <c r="G28" s="4">
        <v>796</v>
      </c>
      <c r="H28" s="17">
        <v>1241760</v>
      </c>
    </row>
    <row r="29" spans="1:8" s="2" customFormat="1" ht="14.25" customHeight="1" x14ac:dyDescent="0.25">
      <c r="A29" s="870"/>
      <c r="B29" s="868"/>
      <c r="C29" s="870"/>
      <c r="D29" s="83" t="s">
        <v>191</v>
      </c>
      <c r="E29" s="30">
        <v>3087</v>
      </c>
      <c r="F29" s="37">
        <v>4852770</v>
      </c>
      <c r="G29" s="4">
        <v>3705</v>
      </c>
      <c r="H29" s="17">
        <v>5779800</v>
      </c>
    </row>
    <row r="30" spans="1:8" s="2" customFormat="1" ht="14.25" customHeight="1" x14ac:dyDescent="0.25">
      <c r="A30" s="870"/>
      <c r="B30" s="868"/>
      <c r="C30" s="870"/>
      <c r="D30" s="83" t="s">
        <v>192</v>
      </c>
      <c r="E30" s="30">
        <v>600</v>
      </c>
      <c r="F30" s="37"/>
      <c r="G30" s="4">
        <v>1220</v>
      </c>
      <c r="H30" s="17">
        <v>1903200</v>
      </c>
    </row>
    <row r="31" spans="1:8" s="2" customFormat="1" ht="14.25" customHeight="1" x14ac:dyDescent="0.25">
      <c r="A31" s="873"/>
      <c r="B31" s="874"/>
      <c r="C31" s="873"/>
      <c r="D31" s="83" t="s">
        <v>193</v>
      </c>
      <c r="E31" s="30">
        <v>1458</v>
      </c>
      <c r="F31" s="37">
        <v>2293180</v>
      </c>
      <c r="G31" s="4">
        <v>1750</v>
      </c>
      <c r="H31" s="17">
        <v>2730000</v>
      </c>
    </row>
    <row r="32" spans="1:8" s="123" customFormat="1" ht="8.25" customHeight="1" x14ac:dyDescent="0.25">
      <c r="F32" s="174"/>
    </row>
    <row r="33" spans="1:8" s="123" customFormat="1" ht="8.25" customHeight="1" x14ac:dyDescent="0.25">
      <c r="F33" s="174"/>
    </row>
    <row r="34" spans="1:8" s="123" customFormat="1" ht="8.25" customHeight="1" x14ac:dyDescent="0.25">
      <c r="F34" s="174"/>
    </row>
    <row r="35" spans="1:8" s="123" customFormat="1" ht="8.25" customHeight="1" x14ac:dyDescent="0.25">
      <c r="F35" s="174"/>
    </row>
    <row r="36" spans="1:8" s="123" customFormat="1" ht="8.25" customHeight="1" x14ac:dyDescent="0.25">
      <c r="F36" s="174"/>
    </row>
    <row r="37" spans="1:8" s="123" customFormat="1" ht="8.25" customHeight="1" x14ac:dyDescent="0.25">
      <c r="F37" s="174"/>
    </row>
    <row r="38" spans="1:8" s="123" customFormat="1" ht="8.25" customHeight="1" x14ac:dyDescent="0.25">
      <c r="F38" s="174"/>
    </row>
    <row r="39" spans="1:8" s="9" customFormat="1" ht="23.25" customHeight="1" x14ac:dyDescent="0.25">
      <c r="A39" s="869" t="s">
        <v>16</v>
      </c>
      <c r="B39" s="869" t="s">
        <v>55</v>
      </c>
      <c r="C39" s="869" t="s">
        <v>19</v>
      </c>
      <c r="D39" s="70" t="s">
        <v>79</v>
      </c>
      <c r="E39" s="70">
        <f>SUM(E40:E43)</f>
        <v>296</v>
      </c>
      <c r="F39" s="84">
        <f>SUM(F40:F43)</f>
        <v>1136000</v>
      </c>
      <c r="G39" s="70">
        <f>SUM(G40:G43)</f>
        <v>936</v>
      </c>
      <c r="H39" s="71">
        <f>SUM(H40:H43)</f>
        <v>5616000</v>
      </c>
    </row>
    <row r="40" spans="1:8" s="3" customFormat="1" ht="21.75" customHeight="1" x14ac:dyDescent="0.25">
      <c r="A40" s="870"/>
      <c r="B40" s="870"/>
      <c r="C40" s="870"/>
      <c r="D40" s="83" t="s">
        <v>190</v>
      </c>
      <c r="E40" s="30">
        <v>70</v>
      </c>
      <c r="F40" s="37">
        <v>273000</v>
      </c>
      <c r="G40" s="4">
        <v>220</v>
      </c>
      <c r="H40" s="17">
        <v>1320000</v>
      </c>
    </row>
    <row r="41" spans="1:8" s="2" customFormat="1" ht="14.25" customHeight="1" x14ac:dyDescent="0.25">
      <c r="A41" s="870"/>
      <c r="B41" s="870"/>
      <c r="C41" s="870"/>
      <c r="D41" s="83" t="s">
        <v>191</v>
      </c>
      <c r="E41" s="30">
        <v>88</v>
      </c>
      <c r="F41" s="37">
        <v>361000</v>
      </c>
      <c r="G41" s="4">
        <v>248</v>
      </c>
      <c r="H41" s="17">
        <v>1488000</v>
      </c>
    </row>
    <row r="42" spans="1:8" s="2" customFormat="1" ht="14.25" customHeight="1" x14ac:dyDescent="0.25">
      <c r="A42" s="870"/>
      <c r="B42" s="870"/>
      <c r="C42" s="870"/>
      <c r="D42" s="83" t="s">
        <v>192</v>
      </c>
      <c r="E42" s="30">
        <v>68</v>
      </c>
      <c r="F42" s="37">
        <v>211000</v>
      </c>
      <c r="G42" s="4">
        <v>238</v>
      </c>
      <c r="H42" s="17">
        <v>1428000</v>
      </c>
    </row>
    <row r="43" spans="1:8" s="2" customFormat="1" ht="14.25" customHeight="1" x14ac:dyDescent="0.25">
      <c r="A43" s="873"/>
      <c r="B43" s="873"/>
      <c r="C43" s="873"/>
      <c r="D43" s="83" t="s">
        <v>193</v>
      </c>
      <c r="E43" s="30">
        <v>70</v>
      </c>
      <c r="F43" s="37">
        <v>291000</v>
      </c>
      <c r="G43" s="4">
        <v>230</v>
      </c>
      <c r="H43" s="17">
        <v>1380000</v>
      </c>
    </row>
    <row r="44" spans="1:8" s="8" customFormat="1" ht="8.25" customHeight="1" x14ac:dyDescent="0.25">
      <c r="A44" s="7"/>
      <c r="B44" s="7"/>
      <c r="C44" s="7"/>
      <c r="D44" s="7"/>
      <c r="E44" s="7"/>
      <c r="F44" s="93"/>
      <c r="G44" s="7"/>
      <c r="H44" s="7"/>
    </row>
    <row r="45" spans="1:8" s="9" customFormat="1" ht="19.5" customHeight="1" x14ac:dyDescent="0.25">
      <c r="A45" s="869" t="s">
        <v>17</v>
      </c>
      <c r="B45" s="876" t="s">
        <v>56</v>
      </c>
      <c r="C45" s="869" t="s">
        <v>18</v>
      </c>
      <c r="D45" s="70" t="s">
        <v>79</v>
      </c>
      <c r="E45" s="70">
        <f>SUM(E46:E48)</f>
        <v>24</v>
      </c>
      <c r="F45" s="84">
        <f>SUM(F46:F48)</f>
        <v>34250</v>
      </c>
      <c r="G45" s="70">
        <f>SUM(G46:G48)</f>
        <v>0</v>
      </c>
      <c r="H45" s="71">
        <f>SUM(H46:H48)</f>
        <v>0</v>
      </c>
    </row>
    <row r="46" spans="1:8" s="3" customFormat="1" ht="16.5" customHeight="1" x14ac:dyDescent="0.25">
      <c r="A46" s="870"/>
      <c r="B46" s="877"/>
      <c r="C46" s="870"/>
      <c r="D46" s="83" t="s">
        <v>190</v>
      </c>
      <c r="E46" s="30">
        <f>3+1</f>
        <v>4</v>
      </c>
      <c r="F46" s="37">
        <f>3500+3000</f>
        <v>6500</v>
      </c>
      <c r="G46" s="4"/>
      <c r="H46" s="17"/>
    </row>
    <row r="47" spans="1:8" s="2" customFormat="1" ht="14.25" customHeight="1" x14ac:dyDescent="0.25">
      <c r="A47" s="870"/>
      <c r="B47" s="877"/>
      <c r="C47" s="870"/>
      <c r="D47" s="83" t="s">
        <v>191</v>
      </c>
      <c r="E47" s="30">
        <f>9+1+1</f>
        <v>11</v>
      </c>
      <c r="F47" s="37">
        <f>3000+9000+1500</f>
        <v>13500</v>
      </c>
      <c r="G47" s="4"/>
      <c r="H47" s="17"/>
    </row>
    <row r="48" spans="1:8" s="2" customFormat="1" ht="14.25" customHeight="1" x14ac:dyDescent="0.25">
      <c r="A48" s="870"/>
      <c r="B48" s="877"/>
      <c r="C48" s="870"/>
      <c r="D48" s="83" t="s">
        <v>193</v>
      </c>
      <c r="E48" s="30">
        <f>6+1+2</f>
        <v>9</v>
      </c>
      <c r="F48" s="37">
        <f>11500+1000+1750</f>
        <v>14250</v>
      </c>
      <c r="G48" s="4"/>
      <c r="H48" s="17"/>
    </row>
    <row r="49" spans="1:9" s="1" customFormat="1" ht="15" hidden="1" customHeight="1" x14ac:dyDescent="0.25">
      <c r="A49" s="186"/>
      <c r="B49" s="186"/>
      <c r="C49" s="5"/>
      <c r="D49" s="4" t="s">
        <v>47</v>
      </c>
      <c r="E49" s="44"/>
      <c r="F49" s="40"/>
      <c r="G49" s="5"/>
      <c r="H49" s="4" t="s">
        <v>13</v>
      </c>
    </row>
    <row r="50" spans="1:9" s="8" customFormat="1" ht="8.25" hidden="1" customHeight="1" x14ac:dyDescent="0.25">
      <c r="A50" s="7"/>
      <c r="B50" s="7"/>
      <c r="C50" s="7"/>
      <c r="D50" s="7"/>
      <c r="E50" s="7"/>
      <c r="F50" s="93"/>
      <c r="G50" s="7"/>
      <c r="H50" s="7"/>
    </row>
    <row r="51" spans="1:9" s="8" customFormat="1" ht="8.25" customHeight="1" x14ac:dyDescent="0.25">
      <c r="A51" s="7"/>
      <c r="B51" s="7"/>
      <c r="C51" s="7"/>
      <c r="D51" s="7"/>
      <c r="E51" s="7"/>
      <c r="F51" s="93"/>
      <c r="G51" s="7"/>
      <c r="H51" s="7"/>
    </row>
    <row r="52" spans="1:9" s="9" customFormat="1" ht="22.5" customHeight="1" x14ac:dyDescent="0.25">
      <c r="A52" s="869" t="s">
        <v>23</v>
      </c>
      <c r="B52" s="867" t="s">
        <v>58</v>
      </c>
      <c r="C52" s="869" t="s">
        <v>24</v>
      </c>
      <c r="D52" s="70" t="s">
        <v>79</v>
      </c>
      <c r="E52" s="70">
        <f>SUM(E53:E56)</f>
        <v>6673</v>
      </c>
      <c r="F52" s="84">
        <f>SUM(F53:F56)</f>
        <v>1912219.3599999999</v>
      </c>
      <c r="G52" s="189"/>
      <c r="H52" s="189"/>
      <c r="I52" s="66"/>
    </row>
    <row r="53" spans="1:9" s="9" customFormat="1" ht="20.25" customHeight="1" x14ac:dyDescent="0.25">
      <c r="A53" s="870"/>
      <c r="B53" s="868"/>
      <c r="C53" s="870"/>
      <c r="D53" s="83" t="s">
        <v>190</v>
      </c>
      <c r="E53" s="30">
        <f>300</f>
        <v>300</v>
      </c>
      <c r="F53" s="37">
        <f>126376</f>
        <v>126376</v>
      </c>
      <c r="G53" s="70">
        <f>SUM(G54:G57)</f>
        <v>0</v>
      </c>
      <c r="H53" s="71">
        <f>SUM(H54:H57)</f>
        <v>0</v>
      </c>
      <c r="I53" s="66"/>
    </row>
    <row r="54" spans="1:9" s="3" customFormat="1" ht="20.25" customHeight="1" x14ac:dyDescent="0.25">
      <c r="A54" s="870"/>
      <c r="B54" s="868"/>
      <c r="C54" s="870"/>
      <c r="D54" s="83" t="s">
        <v>191</v>
      </c>
      <c r="E54" s="30">
        <f>1200</f>
        <v>1200</v>
      </c>
      <c r="F54" s="37">
        <f>401404</f>
        <v>401404</v>
      </c>
      <c r="G54" s="4"/>
      <c r="H54" s="17"/>
    </row>
    <row r="55" spans="1:9" s="2" customFormat="1" ht="14.25" customHeight="1" x14ac:dyDescent="0.25">
      <c r="A55" s="870"/>
      <c r="B55" s="868"/>
      <c r="C55" s="870"/>
      <c r="D55" s="83" t="s">
        <v>192</v>
      </c>
      <c r="E55" s="30">
        <f>705</f>
        <v>705</v>
      </c>
      <c r="F55" s="37">
        <f>192098.7</f>
        <v>192098.7</v>
      </c>
      <c r="G55" s="4"/>
      <c r="H55" s="17"/>
    </row>
    <row r="56" spans="1:9" s="2" customFormat="1" ht="14.25" customHeight="1" x14ac:dyDescent="0.25">
      <c r="A56" s="870"/>
      <c r="B56" s="868"/>
      <c r="C56" s="870"/>
      <c r="D56" s="83" t="s">
        <v>193</v>
      </c>
      <c r="E56" s="30">
        <v>4468</v>
      </c>
      <c r="F56" s="37">
        <f>1192340.66</f>
        <v>1192340.6599999999</v>
      </c>
      <c r="G56" s="4"/>
      <c r="H56" s="17"/>
    </row>
    <row r="57" spans="1:9" s="2" customFormat="1" ht="24.75" customHeight="1" x14ac:dyDescent="0.25">
      <c r="A57" s="873"/>
      <c r="B57" s="874"/>
      <c r="C57" s="873"/>
      <c r="D57" s="246" t="s">
        <v>221</v>
      </c>
      <c r="E57" s="247">
        <f>1000</f>
        <v>1000</v>
      </c>
      <c r="F57" s="248">
        <f>241770</f>
        <v>241770</v>
      </c>
      <c r="G57" s="196"/>
      <c r="H57" s="197"/>
    </row>
    <row r="58" spans="1:9" s="8" customFormat="1" ht="8.25" hidden="1" customHeight="1" x14ac:dyDescent="0.25">
      <c r="A58" s="7"/>
      <c r="B58" s="7"/>
      <c r="C58" s="7"/>
      <c r="D58" s="7"/>
      <c r="E58" s="7"/>
      <c r="F58" s="93"/>
      <c r="G58" s="7"/>
      <c r="H58" s="7"/>
    </row>
    <row r="59" spans="1:9" s="9" customFormat="1" ht="30" hidden="1" customHeight="1" x14ac:dyDescent="0.25">
      <c r="A59" s="185" t="s">
        <v>63</v>
      </c>
      <c r="B59" s="831" t="s">
        <v>64</v>
      </c>
      <c r="C59" s="6" t="s">
        <v>65</v>
      </c>
      <c r="D59" s="70" t="s">
        <v>81</v>
      </c>
      <c r="E59" s="64" t="e">
        <f>SUM(#REF!)</f>
        <v>#REF!</v>
      </c>
      <c r="F59" s="78" t="e">
        <f>SUM(#REF!)</f>
        <v>#REF!</v>
      </c>
      <c r="G59" s="63" t="e">
        <f>#REF!+#REF!</f>
        <v>#REF!</v>
      </c>
      <c r="H59" s="78" t="e">
        <f>#REF!+#REF!</f>
        <v>#REF!</v>
      </c>
    </row>
    <row r="60" spans="1:9" s="3" customFormat="1" ht="27.75" hidden="1" customHeight="1" x14ac:dyDescent="0.25">
      <c r="A60" s="6"/>
      <c r="B60" s="879"/>
      <c r="C60" s="6"/>
      <c r="D60" s="70" t="s">
        <v>79</v>
      </c>
      <c r="E60" s="70">
        <f>SUM(E61:E64)</f>
        <v>0</v>
      </c>
      <c r="F60" s="84">
        <f>SUM(F61:F64)</f>
        <v>0</v>
      </c>
      <c r="G60" s="70">
        <f>SUM(G61:G64)</f>
        <v>0</v>
      </c>
      <c r="H60" s="71">
        <f>SUM(H61:H64)</f>
        <v>0</v>
      </c>
    </row>
    <row r="61" spans="1:9" s="2" customFormat="1" ht="14.25" hidden="1" customHeight="1" x14ac:dyDescent="0.25">
      <c r="A61" s="18"/>
      <c r="B61" s="879"/>
      <c r="C61" s="6"/>
      <c r="D61" s="83" t="s">
        <v>190</v>
      </c>
      <c r="E61" s="30"/>
      <c r="F61" s="37"/>
      <c r="G61" s="4"/>
      <c r="H61" s="17"/>
    </row>
    <row r="62" spans="1:9" s="2" customFormat="1" ht="14.25" hidden="1" customHeight="1" x14ac:dyDescent="0.25">
      <c r="A62" s="972"/>
      <c r="B62" s="879"/>
      <c r="C62" s="6"/>
      <c r="D62" s="83" t="s">
        <v>191</v>
      </c>
      <c r="E62" s="30"/>
      <c r="F62" s="37"/>
      <c r="G62" s="4"/>
      <c r="H62" s="17"/>
    </row>
    <row r="63" spans="1:9" s="2" customFormat="1" ht="14.25" hidden="1" customHeight="1" x14ac:dyDescent="0.25">
      <c r="A63" s="918"/>
      <c r="B63" s="879"/>
      <c r="C63" s="6"/>
      <c r="D63" s="83" t="s">
        <v>192</v>
      </c>
      <c r="E63" s="30"/>
      <c r="F63" s="37"/>
      <c r="G63" s="4"/>
      <c r="H63" s="17"/>
    </row>
    <row r="64" spans="1:9" s="2" customFormat="1" ht="14.25" hidden="1" customHeight="1" x14ac:dyDescent="0.25">
      <c r="A64" s="918"/>
      <c r="B64" s="879"/>
      <c r="C64" s="6"/>
      <c r="D64" s="83" t="s">
        <v>193</v>
      </c>
      <c r="E64" s="30"/>
      <c r="F64" s="37"/>
      <c r="G64" s="4"/>
      <c r="H64" s="17"/>
    </row>
    <row r="65" spans="1:8" s="2" customFormat="1" ht="24" hidden="1" customHeight="1" x14ac:dyDescent="0.25">
      <c r="A65" s="186"/>
      <c r="B65" s="879"/>
      <c r="C65" s="6"/>
      <c r="D65" s="70" t="s">
        <v>80</v>
      </c>
      <c r="E65" s="70">
        <f>SUM(E66:E75)</f>
        <v>0</v>
      </c>
      <c r="F65" s="84">
        <f>SUM(F66:F75)</f>
        <v>0</v>
      </c>
      <c r="G65" s="70">
        <f>SUM(G66:G75)</f>
        <v>0</v>
      </c>
      <c r="H65" s="71">
        <f>SUM(H66:H75)</f>
        <v>0</v>
      </c>
    </row>
    <row r="66" spans="1:8" s="2" customFormat="1" ht="14.25" hidden="1" customHeight="1" x14ac:dyDescent="0.25">
      <c r="A66" s="186"/>
      <c r="B66" s="879"/>
      <c r="C66" s="6"/>
      <c r="D66" s="83" t="s">
        <v>194</v>
      </c>
      <c r="E66" s="30"/>
      <c r="F66" s="37"/>
      <c r="G66" s="4"/>
      <c r="H66" s="17"/>
    </row>
    <row r="67" spans="1:8" s="2" customFormat="1" ht="14.25" hidden="1" customHeight="1" x14ac:dyDescent="0.25">
      <c r="A67" s="186"/>
      <c r="B67" s="879"/>
      <c r="C67" s="6"/>
      <c r="D67" s="83" t="s">
        <v>195</v>
      </c>
      <c r="E67" s="30"/>
      <c r="F67" s="37"/>
      <c r="G67" s="4"/>
      <c r="H67" s="17"/>
    </row>
    <row r="68" spans="1:8" s="2" customFormat="1" ht="14.25" hidden="1" customHeight="1" x14ac:dyDescent="0.25">
      <c r="A68" s="186"/>
      <c r="B68" s="879"/>
      <c r="C68" s="6"/>
      <c r="D68" s="83" t="s">
        <v>196</v>
      </c>
      <c r="E68" s="30"/>
      <c r="F68" s="37"/>
      <c r="G68" s="4"/>
      <c r="H68" s="17"/>
    </row>
    <row r="69" spans="1:8" s="2" customFormat="1" ht="14.25" hidden="1" customHeight="1" x14ac:dyDescent="0.25">
      <c r="A69" s="186"/>
      <c r="B69" s="879"/>
      <c r="C69" s="6"/>
      <c r="D69" s="83" t="s">
        <v>11</v>
      </c>
      <c r="E69" s="30"/>
      <c r="F69" s="37"/>
      <c r="G69" s="4"/>
      <c r="H69" s="17"/>
    </row>
    <row r="70" spans="1:8" s="2" customFormat="1" ht="14.25" hidden="1" customHeight="1" x14ac:dyDescent="0.25">
      <c r="A70" s="186"/>
      <c r="B70" s="879"/>
      <c r="C70" s="6"/>
      <c r="D70" s="83" t="s">
        <v>12</v>
      </c>
      <c r="E70" s="30"/>
      <c r="F70" s="37"/>
      <c r="G70" s="4"/>
      <c r="H70" s="17"/>
    </row>
    <row r="71" spans="1:8" s="2" customFormat="1" ht="14.25" hidden="1" customHeight="1" x14ac:dyDescent="0.25">
      <c r="A71" s="186"/>
      <c r="B71" s="879"/>
      <c r="C71" s="6"/>
      <c r="D71" s="83" t="s">
        <v>197</v>
      </c>
      <c r="E71" s="30"/>
      <c r="F71" s="37"/>
      <c r="G71" s="4"/>
      <c r="H71" s="17"/>
    </row>
    <row r="72" spans="1:8" s="2" customFormat="1" ht="14.25" hidden="1" customHeight="1" x14ac:dyDescent="0.25">
      <c r="A72" s="186"/>
      <c r="B72" s="879"/>
      <c r="C72" s="6"/>
      <c r="D72" s="83" t="s">
        <v>147</v>
      </c>
      <c r="E72" s="30"/>
      <c r="F72" s="37"/>
      <c r="G72" s="4"/>
      <c r="H72" s="17"/>
    </row>
    <row r="73" spans="1:8" s="2" customFormat="1" ht="14.25" hidden="1" customHeight="1" x14ac:dyDescent="0.25">
      <c r="A73" s="186"/>
      <c r="B73" s="879"/>
      <c r="C73" s="6"/>
      <c r="D73" s="83" t="s">
        <v>198</v>
      </c>
      <c r="E73" s="30"/>
      <c r="F73" s="37"/>
      <c r="G73" s="4"/>
      <c r="H73" s="17"/>
    </row>
    <row r="74" spans="1:8" s="2" customFormat="1" ht="14.25" hidden="1" customHeight="1" x14ac:dyDescent="0.25">
      <c r="A74" s="186"/>
      <c r="B74" s="879"/>
      <c r="C74" s="6"/>
      <c r="D74" s="83" t="s">
        <v>199</v>
      </c>
      <c r="E74" s="30"/>
      <c r="F74" s="37"/>
      <c r="G74" s="4"/>
      <c r="H74" s="17"/>
    </row>
    <row r="75" spans="1:8" s="2" customFormat="1" ht="14.25" hidden="1" customHeight="1" x14ac:dyDescent="0.25">
      <c r="A75" s="186"/>
      <c r="B75" s="879"/>
      <c r="C75" s="6"/>
      <c r="D75" s="83" t="s">
        <v>200</v>
      </c>
      <c r="E75" s="30"/>
      <c r="F75" s="37"/>
      <c r="G75" s="4"/>
      <c r="H75" s="17"/>
    </row>
    <row r="76" spans="1:8" s="8" customFormat="1" ht="8.25" customHeight="1" x14ac:dyDescent="0.25">
      <c r="A76" s="60"/>
      <c r="B76" s="60"/>
      <c r="C76" s="60"/>
      <c r="D76" s="60"/>
      <c r="E76" s="60"/>
      <c r="F76" s="96"/>
      <c r="G76" s="60"/>
      <c r="H76" s="60"/>
    </row>
    <row r="77" spans="1:8" s="9" customFormat="1" ht="18.75" customHeight="1" x14ac:dyDescent="0.25">
      <c r="A77" s="869" t="s">
        <v>201</v>
      </c>
      <c r="B77" s="831" t="s">
        <v>202</v>
      </c>
      <c r="C77" s="869" t="s">
        <v>65</v>
      </c>
      <c r="D77" s="224" t="s">
        <v>79</v>
      </c>
      <c r="E77" s="224">
        <f>SUM(E78:E78)</f>
        <v>158</v>
      </c>
      <c r="F77" s="231">
        <f>SUM(F78:F78)</f>
        <v>390300</v>
      </c>
      <c r="G77" s="224">
        <f>SUM(G78:G78)</f>
        <v>0</v>
      </c>
      <c r="H77" s="232">
        <f>SUM(H78:H78)</f>
        <v>0</v>
      </c>
    </row>
    <row r="78" spans="1:8" s="2" customFormat="1" ht="22.5" customHeight="1" x14ac:dyDescent="0.25">
      <c r="A78" s="873"/>
      <c r="B78" s="833"/>
      <c r="C78" s="873"/>
      <c r="D78" s="83" t="s">
        <v>191</v>
      </c>
      <c r="E78" s="30">
        <f>158</f>
        <v>158</v>
      </c>
      <c r="F78" s="37">
        <f>390300</f>
        <v>390300</v>
      </c>
      <c r="G78" s="4"/>
      <c r="H78" s="17"/>
    </row>
    <row r="79" spans="1:8" x14ac:dyDescent="0.25">
      <c r="A79" t="s">
        <v>26</v>
      </c>
      <c r="B79" t="s">
        <v>28</v>
      </c>
      <c r="D79" t="s">
        <v>31</v>
      </c>
      <c r="F79"/>
    </row>
    <row r="80" spans="1:8" x14ac:dyDescent="0.25">
      <c r="F80"/>
    </row>
    <row r="81" spans="1:6" x14ac:dyDescent="0.25">
      <c r="F81"/>
    </row>
    <row r="82" spans="1:6" x14ac:dyDescent="0.25">
      <c r="F82"/>
    </row>
    <row r="83" spans="1:6" x14ac:dyDescent="0.25">
      <c r="A83" t="s">
        <v>27</v>
      </c>
      <c r="B83" t="s">
        <v>29</v>
      </c>
      <c r="D83" t="s">
        <v>32</v>
      </c>
      <c r="F83"/>
    </row>
    <row r="84" spans="1:6" x14ac:dyDescent="0.25">
      <c r="A84" t="s">
        <v>223</v>
      </c>
      <c r="B84" t="s">
        <v>30</v>
      </c>
      <c r="D84" t="s">
        <v>33</v>
      </c>
      <c r="F84"/>
    </row>
  </sheetData>
  <mergeCells count="37">
    <mergeCell ref="A52:A57"/>
    <mergeCell ref="B52:B57"/>
    <mergeCell ref="C52:C57"/>
    <mergeCell ref="A77:A78"/>
    <mergeCell ref="B77:B78"/>
    <mergeCell ref="C77:C78"/>
    <mergeCell ref="B59:B75"/>
    <mergeCell ref="A62:A64"/>
    <mergeCell ref="A1:H1"/>
    <mergeCell ref="A2:H2"/>
    <mergeCell ref="A4:H4"/>
    <mergeCell ref="A5:H5"/>
    <mergeCell ref="A7:A8"/>
    <mergeCell ref="B7:B8"/>
    <mergeCell ref="C7:C8"/>
    <mergeCell ref="D7:D8"/>
    <mergeCell ref="E7:E8"/>
    <mergeCell ref="F7:F8"/>
    <mergeCell ref="B17:B19"/>
    <mergeCell ref="G7:H7"/>
    <mergeCell ref="B11:B15"/>
    <mergeCell ref="A11:A15"/>
    <mergeCell ref="C11:C15"/>
    <mergeCell ref="A17:A19"/>
    <mergeCell ref="C17:C19"/>
    <mergeCell ref="B27:B31"/>
    <mergeCell ref="C27:C31"/>
    <mergeCell ref="B21:B25"/>
    <mergeCell ref="A21:A25"/>
    <mergeCell ref="C21:C25"/>
    <mergeCell ref="A27:A31"/>
    <mergeCell ref="A39:A43"/>
    <mergeCell ref="B39:B43"/>
    <mergeCell ref="C39:C43"/>
    <mergeCell ref="A45:A48"/>
    <mergeCell ref="B45:B48"/>
    <mergeCell ref="C45:C48"/>
  </mergeCells>
  <printOptions horizontalCentered="1"/>
  <pageMargins left="0.52" right="0.92" top="0.68" bottom="0.69" header="0.3" footer="0.4"/>
  <pageSetup paperSize="9" scale="80" orientation="landscape" verticalDpi="300" r:id="rId1"/>
  <headerFooter>
    <oddFooter>&amp;L1st District of Zambales
&amp;CPage &amp;P of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285</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928" t="s">
        <v>252</v>
      </c>
      <c r="B8" s="1047" t="s">
        <v>251</v>
      </c>
      <c r="C8" s="224" t="s">
        <v>286</v>
      </c>
      <c r="D8" s="224">
        <f>SUM(D9:D10)</f>
        <v>8</v>
      </c>
      <c r="E8" s="84">
        <f>SUM(E9:E10)</f>
        <v>3303487.5</v>
      </c>
    </row>
    <row r="9" spans="1:5" s="3" customFormat="1" ht="27.75" customHeight="1" x14ac:dyDescent="0.25">
      <c r="A9" s="928"/>
      <c r="B9" s="1047"/>
      <c r="C9" s="259" t="s">
        <v>311</v>
      </c>
      <c r="D9" s="260">
        <v>4</v>
      </c>
      <c r="E9" s="261">
        <v>1330000</v>
      </c>
    </row>
    <row r="10" spans="1:5" s="3" customFormat="1" ht="75.75" customHeight="1" x14ac:dyDescent="0.25">
      <c r="A10" s="928"/>
      <c r="B10" s="1047"/>
      <c r="C10" s="259" t="s">
        <v>193</v>
      </c>
      <c r="D10" s="260">
        <v>4</v>
      </c>
      <c r="E10" s="261">
        <v>1973487.5</v>
      </c>
    </row>
    <row r="11" spans="1:5" ht="21" customHeight="1" x14ac:dyDescent="0.3">
      <c r="A11" s="52"/>
      <c r="B11" s="258"/>
      <c r="C11" s="115"/>
      <c r="D11" s="251"/>
      <c r="E11" s="252"/>
    </row>
    <row r="12" spans="1:5" ht="15" customHeight="1" x14ac:dyDescent="0.25">
      <c r="A12" s="52"/>
      <c r="B12" s="258"/>
      <c r="C12" s="115"/>
      <c r="D12" s="251"/>
      <c r="E12" s="252"/>
    </row>
    <row r="13" spans="1:5" x14ac:dyDescent="0.25">
      <c r="A13" t="s">
        <v>27</v>
      </c>
      <c r="B13" t="s">
        <v>29</v>
      </c>
      <c r="D13" t="s">
        <v>32</v>
      </c>
    </row>
    <row r="14" spans="1:5" x14ac:dyDescent="0.25">
      <c r="A14" t="s">
        <v>223</v>
      </c>
      <c r="B14" t="s">
        <v>30</v>
      </c>
      <c r="D14" t="s">
        <v>33</v>
      </c>
    </row>
  </sheetData>
  <mergeCells count="10">
    <mergeCell ref="A8:A10"/>
    <mergeCell ref="B8:B10"/>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topLeftCell="A113" workbookViewId="0">
      <selection activeCell="A6" sqref="A6:F12"/>
    </sheetView>
  </sheetViews>
  <sheetFormatPr defaultRowHeight="15" x14ac:dyDescent="0.25"/>
  <cols>
    <col min="1" max="1" width="30.85546875" customWidth="1"/>
    <col min="2" max="2" width="42" customWidth="1"/>
    <col min="3" max="3" width="13.42578125" customWidth="1"/>
    <col min="4" max="4" width="18.5703125" customWidth="1"/>
    <col min="5" max="5" width="10.85546875" customWidth="1"/>
    <col min="6" max="6" width="16.42578125" style="97" customWidth="1"/>
    <col min="7" max="7" width="11.140625" customWidth="1"/>
    <col min="8" max="8" width="17.42578125" customWidth="1"/>
  </cols>
  <sheetData>
    <row r="1" spans="1:8" x14ac:dyDescent="0.25">
      <c r="A1" s="858" t="s">
        <v>39</v>
      </c>
      <c r="B1" s="858"/>
      <c r="C1" s="858"/>
      <c r="D1" s="858"/>
      <c r="E1" s="858"/>
      <c r="F1" s="858"/>
      <c r="G1" s="858"/>
      <c r="H1" s="858"/>
    </row>
    <row r="2" spans="1:8" x14ac:dyDescent="0.25">
      <c r="A2" s="858" t="s">
        <v>40</v>
      </c>
      <c r="B2" s="858"/>
      <c r="C2" s="858"/>
      <c r="D2" s="858"/>
      <c r="E2" s="858"/>
      <c r="F2" s="858"/>
      <c r="G2" s="858"/>
      <c r="H2" s="858"/>
    </row>
    <row r="3" spans="1:8" x14ac:dyDescent="0.25">
      <c r="A3" s="216"/>
      <c r="B3" s="216"/>
      <c r="C3" s="216"/>
      <c r="D3" s="216"/>
      <c r="E3" s="216"/>
      <c r="F3" s="90"/>
      <c r="G3" s="216"/>
      <c r="H3" s="216"/>
    </row>
    <row r="4" spans="1:8" s="47" customFormat="1" ht="15.75" x14ac:dyDescent="0.25">
      <c r="A4" s="844" t="s">
        <v>243</v>
      </c>
      <c r="B4" s="844"/>
      <c r="C4" s="844"/>
      <c r="D4" s="844"/>
      <c r="E4" s="844"/>
      <c r="F4" s="844"/>
      <c r="G4" s="844"/>
      <c r="H4" s="844"/>
    </row>
    <row r="5" spans="1:8" s="47" customFormat="1" ht="15.75" x14ac:dyDescent="0.25">
      <c r="A5" s="844"/>
      <c r="B5" s="844"/>
      <c r="C5" s="844"/>
      <c r="D5" s="844"/>
      <c r="E5" s="844"/>
      <c r="F5" s="844"/>
      <c r="G5" s="844"/>
      <c r="H5" s="844"/>
    </row>
    <row r="6" spans="1:8" s="48" customFormat="1" x14ac:dyDescent="0.25">
      <c r="F6" s="91"/>
    </row>
    <row r="7" spans="1:8" s="3" customFormat="1" ht="15" customHeight="1" x14ac:dyDescent="0.25">
      <c r="A7" s="859" t="s">
        <v>0</v>
      </c>
      <c r="B7" s="860" t="s">
        <v>51</v>
      </c>
      <c r="C7" s="859" t="s">
        <v>4</v>
      </c>
      <c r="D7" s="862" t="s">
        <v>3</v>
      </c>
      <c r="E7" s="862" t="s">
        <v>48</v>
      </c>
      <c r="F7" s="1058" t="s">
        <v>1</v>
      </c>
      <c r="G7" s="864" t="s">
        <v>59</v>
      </c>
      <c r="H7" s="865"/>
    </row>
    <row r="8" spans="1:8" s="3" customFormat="1" ht="21" customHeight="1" x14ac:dyDescent="0.25">
      <c r="A8" s="859"/>
      <c r="B8" s="861"/>
      <c r="C8" s="859"/>
      <c r="D8" s="863"/>
      <c r="E8" s="863"/>
      <c r="F8" s="1058"/>
      <c r="G8" s="219" t="s">
        <v>48</v>
      </c>
      <c r="H8" s="217" t="s">
        <v>60</v>
      </c>
    </row>
    <row r="9" spans="1:8" s="12" customFormat="1" ht="20.25" customHeight="1" x14ac:dyDescent="0.25">
      <c r="A9" s="10" t="s">
        <v>14</v>
      </c>
      <c r="B9" s="10"/>
      <c r="C9" s="11"/>
      <c r="D9" s="11"/>
      <c r="E9" s="14"/>
      <c r="F9" s="139">
        <f>F11+F23+F50+F61+F73+F85+F115+F126</f>
        <v>87960035</v>
      </c>
      <c r="G9" s="11"/>
      <c r="H9" s="139">
        <f>H11+H23+H50+H61+H73+H85+H115+H126</f>
        <v>214539840</v>
      </c>
    </row>
    <row r="10" spans="1:8" s="8" customFormat="1" ht="8.25" customHeight="1" x14ac:dyDescent="0.25">
      <c r="A10" s="7"/>
      <c r="B10" s="7"/>
      <c r="C10" s="7"/>
      <c r="D10" s="7"/>
      <c r="E10" s="7"/>
      <c r="F10" s="93"/>
      <c r="G10" s="7"/>
      <c r="H10" s="7"/>
    </row>
    <row r="11" spans="1:8" s="3" customFormat="1" ht="20.25" customHeight="1" x14ac:dyDescent="0.25">
      <c r="A11" s="869" t="s">
        <v>5</v>
      </c>
      <c r="B11" s="867" t="s">
        <v>50</v>
      </c>
      <c r="C11" s="871" t="s">
        <v>21</v>
      </c>
      <c r="D11" s="70" t="s">
        <v>80</v>
      </c>
      <c r="E11" s="70">
        <f>SUM(E12:E21)</f>
        <v>11769</v>
      </c>
      <c r="F11" s="84">
        <f>SUM(F12:F21)</f>
        <v>73947600</v>
      </c>
      <c r="G11" s="70">
        <f>SUM(G12:G21)</f>
        <v>12237</v>
      </c>
      <c r="H11" s="71">
        <f>SUM(H12:H21)</f>
        <v>183555000</v>
      </c>
    </row>
    <row r="12" spans="1:8" s="3" customFormat="1" ht="20.25" customHeight="1" x14ac:dyDescent="0.25">
      <c r="A12" s="870"/>
      <c r="B12" s="868"/>
      <c r="C12" s="872"/>
      <c r="D12" s="83" t="s">
        <v>194</v>
      </c>
      <c r="E12" s="30">
        <v>1763</v>
      </c>
      <c r="F12" s="37">
        <v>12046600</v>
      </c>
      <c r="G12" s="4">
        <v>1795</v>
      </c>
      <c r="H12" s="17">
        <v>26925000</v>
      </c>
    </row>
    <row r="13" spans="1:8" s="2" customFormat="1" ht="14.25" customHeight="1" x14ac:dyDescent="0.25">
      <c r="A13" s="870"/>
      <c r="B13" s="868"/>
      <c r="C13" s="872"/>
      <c r="D13" s="83" t="s">
        <v>195</v>
      </c>
      <c r="E13" s="30">
        <v>1064</v>
      </c>
      <c r="F13" s="37">
        <v>7266100</v>
      </c>
      <c r="G13" s="4">
        <v>1083</v>
      </c>
      <c r="H13" s="17">
        <v>16245000</v>
      </c>
    </row>
    <row r="14" spans="1:8" s="2" customFormat="1" ht="14.25" customHeight="1" x14ac:dyDescent="0.25">
      <c r="A14" s="870"/>
      <c r="B14" s="868"/>
      <c r="C14" s="872"/>
      <c r="D14" s="83" t="s">
        <v>196</v>
      </c>
      <c r="E14" s="30">
        <v>905</v>
      </c>
      <c r="F14" s="37">
        <v>5782900</v>
      </c>
      <c r="G14" s="4">
        <v>946</v>
      </c>
      <c r="H14" s="17">
        <v>14190000</v>
      </c>
    </row>
    <row r="15" spans="1:8" s="2" customFormat="1" ht="14.25" customHeight="1" x14ac:dyDescent="0.25">
      <c r="A15" s="870"/>
      <c r="B15" s="868"/>
      <c r="C15" s="872"/>
      <c r="D15" s="83" t="s">
        <v>11</v>
      </c>
      <c r="E15" s="30">
        <v>1081</v>
      </c>
      <c r="F15" s="37">
        <v>6785500</v>
      </c>
      <c r="G15" s="4">
        <v>1125</v>
      </c>
      <c r="H15" s="17">
        <v>16875000</v>
      </c>
    </row>
    <row r="16" spans="1:8" s="2" customFormat="1" ht="14.25" customHeight="1" x14ac:dyDescent="0.25">
      <c r="A16" s="870"/>
      <c r="B16" s="868"/>
      <c r="C16" s="872"/>
      <c r="D16" s="83" t="s">
        <v>12</v>
      </c>
      <c r="E16" s="30">
        <v>1283</v>
      </c>
      <c r="F16" s="37">
        <v>7723900</v>
      </c>
      <c r="G16" s="4">
        <v>1334</v>
      </c>
      <c r="H16" s="17">
        <v>20010000</v>
      </c>
    </row>
    <row r="17" spans="1:8" s="2" customFormat="1" ht="21" customHeight="1" x14ac:dyDescent="0.25">
      <c r="A17" s="870"/>
      <c r="B17" s="868"/>
      <c r="C17" s="872"/>
      <c r="D17" s="83" t="s">
        <v>197</v>
      </c>
      <c r="E17" s="30">
        <v>1590</v>
      </c>
      <c r="F17" s="37">
        <v>10503500</v>
      </c>
      <c r="G17" s="4">
        <v>1646</v>
      </c>
      <c r="H17" s="17">
        <v>24690000</v>
      </c>
    </row>
    <row r="18" spans="1:8" s="2" customFormat="1" ht="14.25" customHeight="1" x14ac:dyDescent="0.25">
      <c r="A18" s="870"/>
      <c r="B18" s="868"/>
      <c r="C18" s="872"/>
      <c r="D18" s="83" t="s">
        <v>147</v>
      </c>
      <c r="E18" s="30">
        <v>673</v>
      </c>
      <c r="F18" s="37">
        <v>3810800</v>
      </c>
      <c r="G18" s="4">
        <v>703</v>
      </c>
      <c r="H18" s="17">
        <v>10545000</v>
      </c>
    </row>
    <row r="19" spans="1:8" s="2" customFormat="1" ht="14.25" customHeight="1" x14ac:dyDescent="0.25">
      <c r="A19" s="870"/>
      <c r="B19" s="868"/>
      <c r="C19" s="872"/>
      <c r="D19" s="83" t="s">
        <v>198</v>
      </c>
      <c r="E19" s="30">
        <v>610</v>
      </c>
      <c r="F19" s="37">
        <v>3872400</v>
      </c>
      <c r="G19" s="4">
        <v>639</v>
      </c>
      <c r="H19" s="17">
        <v>9585000</v>
      </c>
    </row>
    <row r="20" spans="1:8" s="2" customFormat="1" ht="14.25" customHeight="1" x14ac:dyDescent="0.25">
      <c r="A20" s="870"/>
      <c r="B20" s="868"/>
      <c r="C20" s="872"/>
      <c r="D20" s="83" t="s">
        <v>199</v>
      </c>
      <c r="E20" s="30">
        <v>686</v>
      </c>
      <c r="F20" s="37">
        <v>3192800</v>
      </c>
      <c r="G20" s="4">
        <v>723</v>
      </c>
      <c r="H20" s="17">
        <v>10845000</v>
      </c>
    </row>
    <row r="21" spans="1:8" s="2" customFormat="1" ht="14.25" customHeight="1" x14ac:dyDescent="0.25">
      <c r="A21" s="873"/>
      <c r="B21" s="874"/>
      <c r="C21" s="875"/>
      <c r="D21" s="83" t="s">
        <v>200</v>
      </c>
      <c r="E21" s="30">
        <v>2114</v>
      </c>
      <c r="F21" s="37">
        <v>12963100</v>
      </c>
      <c r="G21" s="4">
        <v>2243</v>
      </c>
      <c r="H21" s="17">
        <v>33645000</v>
      </c>
    </row>
    <row r="22" spans="1:8" s="8" customFormat="1" ht="8.25" customHeight="1" x14ac:dyDescent="0.25">
      <c r="A22" s="7"/>
      <c r="B22" s="7"/>
      <c r="C22" s="7"/>
      <c r="D22" s="7"/>
      <c r="E22" s="7"/>
      <c r="F22" s="93"/>
      <c r="G22" s="7"/>
      <c r="H22" s="7"/>
    </row>
    <row r="23" spans="1:8" s="9" customFormat="1" ht="17.25" customHeight="1" x14ac:dyDescent="0.25">
      <c r="A23" s="869" t="s">
        <v>7</v>
      </c>
      <c r="B23" s="867" t="s">
        <v>52</v>
      </c>
      <c r="C23" s="871" t="s">
        <v>53</v>
      </c>
      <c r="D23" s="70" t="s">
        <v>80</v>
      </c>
      <c r="E23" s="70">
        <f>SUM(E24:E33)</f>
        <v>99</v>
      </c>
      <c r="F23" s="84">
        <f>SUM(F24:F33)</f>
        <v>733000</v>
      </c>
      <c r="G23" s="70">
        <f>SUM(G24:G33)</f>
        <v>450</v>
      </c>
      <c r="H23" s="71">
        <f>SUM(H24:H33)</f>
        <v>3000000</v>
      </c>
    </row>
    <row r="24" spans="1:8" s="3" customFormat="1" ht="19.5" customHeight="1" x14ac:dyDescent="0.25">
      <c r="A24" s="870"/>
      <c r="B24" s="868"/>
      <c r="C24" s="872"/>
      <c r="D24" s="83" t="s">
        <v>194</v>
      </c>
      <c r="E24" s="30">
        <f>30</f>
        <v>30</v>
      </c>
      <c r="F24" s="37">
        <f>300000</f>
        <v>300000</v>
      </c>
      <c r="G24" s="4">
        <v>25</v>
      </c>
      <c r="H24" s="17">
        <v>300000</v>
      </c>
    </row>
    <row r="25" spans="1:8" s="2" customFormat="1" ht="14.25" customHeight="1" x14ac:dyDescent="0.25">
      <c r="A25" s="870"/>
      <c r="B25" s="868"/>
      <c r="C25" s="872"/>
      <c r="D25" s="83" t="s">
        <v>195</v>
      </c>
      <c r="E25" s="30"/>
      <c r="F25" s="37"/>
      <c r="G25" s="4">
        <v>25</v>
      </c>
      <c r="H25" s="17">
        <v>150000</v>
      </c>
    </row>
    <row r="26" spans="1:8" s="2" customFormat="1" ht="14.25" customHeight="1" x14ac:dyDescent="0.25">
      <c r="A26" s="870"/>
      <c r="B26" s="868"/>
      <c r="C26" s="872"/>
      <c r="D26" s="83" t="s">
        <v>196</v>
      </c>
      <c r="E26" s="30"/>
      <c r="F26" s="37"/>
      <c r="G26" s="4">
        <v>60</v>
      </c>
      <c r="H26" s="17">
        <v>450000</v>
      </c>
    </row>
    <row r="27" spans="1:8" s="2" customFormat="1" ht="14.25" customHeight="1" x14ac:dyDescent="0.25">
      <c r="A27" s="870"/>
      <c r="B27" s="868"/>
      <c r="C27" s="872"/>
      <c r="D27" s="83" t="s">
        <v>11</v>
      </c>
      <c r="E27" s="30">
        <f>2+50</f>
        <v>52</v>
      </c>
      <c r="F27" s="37">
        <f>18000+250000</f>
        <v>268000</v>
      </c>
      <c r="G27" s="4">
        <v>60</v>
      </c>
      <c r="H27" s="17">
        <v>450000</v>
      </c>
    </row>
    <row r="28" spans="1:8" s="2" customFormat="1" ht="14.25" customHeight="1" x14ac:dyDescent="0.25">
      <c r="A28" s="870"/>
      <c r="B28" s="868"/>
      <c r="C28" s="872"/>
      <c r="D28" s="83" t="s">
        <v>12</v>
      </c>
      <c r="E28" s="30"/>
      <c r="F28" s="37"/>
      <c r="G28" s="4">
        <v>50</v>
      </c>
      <c r="H28" s="17">
        <v>300000</v>
      </c>
    </row>
    <row r="29" spans="1:8" s="2" customFormat="1" ht="17.25" customHeight="1" x14ac:dyDescent="0.25">
      <c r="A29" s="870"/>
      <c r="B29" s="868"/>
      <c r="C29" s="872"/>
      <c r="D29" s="83" t="s">
        <v>197</v>
      </c>
      <c r="E29" s="30"/>
      <c r="F29" s="37"/>
      <c r="G29" s="4">
        <v>50</v>
      </c>
      <c r="H29" s="17">
        <v>300000</v>
      </c>
    </row>
    <row r="30" spans="1:8" s="2" customFormat="1" ht="14.25" customHeight="1" x14ac:dyDescent="0.25">
      <c r="A30" s="870"/>
      <c r="B30" s="868"/>
      <c r="C30" s="872"/>
      <c r="D30" s="83" t="s">
        <v>147</v>
      </c>
      <c r="E30" s="30">
        <f>15</f>
        <v>15</v>
      </c>
      <c r="F30" s="37">
        <f>150000</f>
        <v>150000</v>
      </c>
      <c r="G30" s="4">
        <v>50</v>
      </c>
      <c r="H30" s="17">
        <v>300000</v>
      </c>
    </row>
    <row r="31" spans="1:8" s="2" customFormat="1" ht="14.25" customHeight="1" x14ac:dyDescent="0.25">
      <c r="A31" s="870"/>
      <c r="B31" s="868"/>
      <c r="C31" s="872"/>
      <c r="D31" s="83" t="s">
        <v>198</v>
      </c>
      <c r="E31" s="30"/>
      <c r="F31" s="37"/>
      <c r="G31" s="4">
        <v>50</v>
      </c>
      <c r="H31" s="17">
        <v>300000</v>
      </c>
    </row>
    <row r="32" spans="1:8" s="2" customFormat="1" ht="14.25" customHeight="1" x14ac:dyDescent="0.25">
      <c r="A32" s="870"/>
      <c r="B32" s="868"/>
      <c r="C32" s="872"/>
      <c r="D32" s="83" t="s">
        <v>199</v>
      </c>
      <c r="E32" s="30">
        <f>2</f>
        <v>2</v>
      </c>
      <c r="F32" s="37">
        <f>15000</f>
        <v>15000</v>
      </c>
      <c r="G32" s="4">
        <v>50</v>
      </c>
      <c r="H32" s="17">
        <v>300000</v>
      </c>
    </row>
    <row r="33" spans="1:8" s="2" customFormat="1" ht="14.25" customHeight="1" x14ac:dyDescent="0.25">
      <c r="A33" s="873"/>
      <c r="B33" s="874"/>
      <c r="C33" s="875"/>
      <c r="D33" s="83" t="s">
        <v>200</v>
      </c>
      <c r="E33" s="30"/>
      <c r="F33" s="37"/>
      <c r="G33" s="4">
        <v>30</v>
      </c>
      <c r="H33" s="17">
        <v>150000</v>
      </c>
    </row>
    <row r="34" spans="1:8" s="123" customFormat="1" ht="8.25" customHeight="1" x14ac:dyDescent="0.25">
      <c r="F34" s="174"/>
    </row>
    <row r="35" spans="1:8" s="123" customFormat="1" ht="8.25" customHeight="1" x14ac:dyDescent="0.25">
      <c r="F35" s="174"/>
    </row>
    <row r="36" spans="1:8" s="123" customFormat="1" ht="8.25" customHeight="1" x14ac:dyDescent="0.25">
      <c r="F36" s="174"/>
    </row>
    <row r="37" spans="1:8" s="123" customFormat="1" ht="8.25" customHeight="1" x14ac:dyDescent="0.25">
      <c r="F37" s="174"/>
    </row>
    <row r="38" spans="1:8" s="123" customFormat="1" ht="8.25" customHeight="1" x14ac:dyDescent="0.25">
      <c r="F38" s="174"/>
    </row>
    <row r="39" spans="1:8" s="123" customFormat="1" ht="8.25" customHeight="1" x14ac:dyDescent="0.25">
      <c r="F39" s="174"/>
    </row>
    <row r="40" spans="1:8" s="123" customFormat="1" ht="8.25" customHeight="1" x14ac:dyDescent="0.25">
      <c r="F40" s="174"/>
    </row>
    <row r="41" spans="1:8" s="123" customFormat="1" ht="8.25" customHeight="1" x14ac:dyDescent="0.25">
      <c r="F41" s="174"/>
    </row>
    <row r="42" spans="1:8" s="123" customFormat="1" ht="8.25" customHeight="1" x14ac:dyDescent="0.25">
      <c r="F42" s="174"/>
    </row>
    <row r="43" spans="1:8" s="123" customFormat="1" ht="8.25" customHeight="1" x14ac:dyDescent="0.25">
      <c r="F43" s="174"/>
    </row>
    <row r="44" spans="1:8" s="123" customFormat="1" ht="8.25" customHeight="1" x14ac:dyDescent="0.25">
      <c r="F44" s="174"/>
    </row>
    <row r="45" spans="1:8" s="123" customFormat="1" ht="8.25" customHeight="1" x14ac:dyDescent="0.25">
      <c r="F45" s="174"/>
    </row>
    <row r="46" spans="1:8" s="123" customFormat="1" ht="8.25" customHeight="1" x14ac:dyDescent="0.25">
      <c r="F46" s="174"/>
    </row>
    <row r="47" spans="1:8" s="123" customFormat="1" ht="8.25" customHeight="1" x14ac:dyDescent="0.25">
      <c r="F47" s="174"/>
    </row>
    <row r="48" spans="1:8" s="123" customFormat="1" ht="8.25" customHeight="1" x14ac:dyDescent="0.25">
      <c r="F48" s="174"/>
    </row>
    <row r="49" spans="1:8" s="123" customFormat="1" ht="8.25" customHeight="1" x14ac:dyDescent="0.25">
      <c r="F49" s="174"/>
    </row>
    <row r="50" spans="1:8" s="9" customFormat="1" ht="20.25" customHeight="1" x14ac:dyDescent="0.25">
      <c r="A50" s="869" t="s">
        <v>6</v>
      </c>
      <c r="B50" s="867" t="s">
        <v>54</v>
      </c>
      <c r="C50" s="869" t="s">
        <v>20</v>
      </c>
      <c r="D50" s="70" t="s">
        <v>80</v>
      </c>
      <c r="E50" s="70">
        <f>SUM(E51:E60)</f>
        <v>6849</v>
      </c>
      <c r="F50" s="84">
        <f>SUM(F51:F60)</f>
        <v>6415310</v>
      </c>
      <c r="G50" s="70">
        <f>SUM(G51:G60)</f>
        <v>8789</v>
      </c>
      <c r="H50" s="71">
        <f>SUM(H51:H60)</f>
        <v>13710840</v>
      </c>
    </row>
    <row r="51" spans="1:8" s="3" customFormat="1" ht="15.75" customHeight="1" x14ac:dyDescent="0.25">
      <c r="A51" s="870"/>
      <c r="B51" s="868"/>
      <c r="C51" s="870"/>
      <c r="D51" s="83" t="s">
        <v>194</v>
      </c>
      <c r="E51" s="30">
        <v>1213</v>
      </c>
      <c r="F51" s="37" t="s">
        <v>205</v>
      </c>
      <c r="G51" s="4">
        <v>1456</v>
      </c>
      <c r="H51" s="17">
        <v>2271360</v>
      </c>
    </row>
    <row r="52" spans="1:8" s="2" customFormat="1" ht="14.25" customHeight="1" x14ac:dyDescent="0.25">
      <c r="A52" s="870"/>
      <c r="B52" s="868"/>
      <c r="C52" s="870"/>
      <c r="D52" s="83" t="s">
        <v>195</v>
      </c>
      <c r="E52" s="30">
        <v>491</v>
      </c>
      <c r="F52" s="37" t="s">
        <v>205</v>
      </c>
      <c r="G52" s="4">
        <v>589</v>
      </c>
      <c r="H52" s="17">
        <v>918840</v>
      </c>
    </row>
    <row r="53" spans="1:8" s="2" customFormat="1" ht="14.25" customHeight="1" x14ac:dyDescent="0.25">
      <c r="A53" s="870"/>
      <c r="B53" s="868"/>
      <c r="C53" s="870"/>
      <c r="D53" s="83" t="s">
        <v>196</v>
      </c>
      <c r="E53" s="30">
        <v>536</v>
      </c>
      <c r="F53" s="37">
        <v>842610</v>
      </c>
      <c r="G53" s="4">
        <v>643</v>
      </c>
      <c r="H53" s="17">
        <v>1003080</v>
      </c>
    </row>
    <row r="54" spans="1:8" s="2" customFormat="1" ht="14.25" customHeight="1" x14ac:dyDescent="0.25">
      <c r="A54" s="870"/>
      <c r="B54" s="868"/>
      <c r="C54" s="870"/>
      <c r="D54" s="83" t="s">
        <v>11</v>
      </c>
      <c r="E54" s="30">
        <v>691</v>
      </c>
      <c r="F54" s="37">
        <v>1086260</v>
      </c>
      <c r="G54" s="4">
        <v>829</v>
      </c>
      <c r="H54" s="17">
        <v>1293240</v>
      </c>
    </row>
    <row r="55" spans="1:8" s="2" customFormat="1" ht="14.25" customHeight="1" x14ac:dyDescent="0.25">
      <c r="A55" s="870"/>
      <c r="B55" s="868"/>
      <c r="C55" s="870"/>
      <c r="D55" s="83" t="s">
        <v>12</v>
      </c>
      <c r="E55" s="30">
        <v>614</v>
      </c>
      <c r="F55" s="37"/>
      <c r="G55" s="4">
        <v>737</v>
      </c>
      <c r="H55" s="17">
        <v>1149720</v>
      </c>
    </row>
    <row r="56" spans="1:8" s="2" customFormat="1" ht="18.75" customHeight="1" x14ac:dyDescent="0.25">
      <c r="A56" s="870"/>
      <c r="B56" s="868"/>
      <c r="C56" s="870"/>
      <c r="D56" s="83" t="s">
        <v>197</v>
      </c>
      <c r="E56" s="30">
        <v>885</v>
      </c>
      <c r="F56" s="37">
        <v>1391200</v>
      </c>
      <c r="G56" s="4">
        <v>1062</v>
      </c>
      <c r="H56" s="17">
        <v>1656720</v>
      </c>
    </row>
    <row r="57" spans="1:8" s="2" customFormat="1" ht="14.25" customHeight="1" x14ac:dyDescent="0.25">
      <c r="A57" s="870"/>
      <c r="B57" s="868"/>
      <c r="C57" s="870"/>
      <c r="D57" s="83" t="s">
        <v>147</v>
      </c>
      <c r="E57" s="30">
        <v>608</v>
      </c>
      <c r="F57" s="37">
        <v>955780</v>
      </c>
      <c r="G57" s="4">
        <v>730</v>
      </c>
      <c r="H57" s="17">
        <v>1138800</v>
      </c>
    </row>
    <row r="58" spans="1:8" s="2" customFormat="1" ht="14.25" customHeight="1" x14ac:dyDescent="0.25">
      <c r="A58" s="870"/>
      <c r="B58" s="868"/>
      <c r="C58" s="870"/>
      <c r="D58" s="83" t="s">
        <v>198</v>
      </c>
      <c r="E58" s="30">
        <v>450</v>
      </c>
      <c r="F58" s="37" t="s">
        <v>205</v>
      </c>
      <c r="G58" s="4">
        <v>540</v>
      </c>
      <c r="H58" s="17">
        <v>842400</v>
      </c>
    </row>
    <row r="59" spans="1:8" s="2" customFormat="1" ht="14.25" customHeight="1" x14ac:dyDescent="0.25">
      <c r="A59" s="870"/>
      <c r="B59" s="868"/>
      <c r="C59" s="870"/>
      <c r="D59" s="83" t="s">
        <v>199</v>
      </c>
      <c r="E59" s="30"/>
      <c r="F59" s="37"/>
      <c r="G59" s="4">
        <v>570</v>
      </c>
      <c r="H59" s="17">
        <v>889200</v>
      </c>
    </row>
    <row r="60" spans="1:8" s="2" customFormat="1" ht="14.25" customHeight="1" x14ac:dyDescent="0.25">
      <c r="A60" s="873"/>
      <c r="B60" s="874"/>
      <c r="C60" s="873"/>
      <c r="D60" s="83" t="s">
        <v>200</v>
      </c>
      <c r="E60" s="30">
        <v>1361</v>
      </c>
      <c r="F60" s="37">
        <v>2139460</v>
      </c>
      <c r="G60" s="4">
        <v>1633</v>
      </c>
      <c r="H60" s="17">
        <v>2547480</v>
      </c>
    </row>
    <row r="61" spans="1:8" s="9" customFormat="1" ht="23.25" customHeight="1" x14ac:dyDescent="0.25">
      <c r="A61" s="856" t="s">
        <v>16</v>
      </c>
      <c r="B61" s="869" t="s">
        <v>55</v>
      </c>
      <c r="C61" s="869" t="s">
        <v>19</v>
      </c>
      <c r="D61" s="70" t="s">
        <v>80</v>
      </c>
      <c r="E61" s="70">
        <f>SUM(E62:E71)</f>
        <v>824</v>
      </c>
      <c r="F61" s="84">
        <f>SUM(F62:F71)</f>
        <v>3155000</v>
      </c>
      <c r="G61" s="70">
        <f>SUM(G62:G71)</f>
        <v>2379</v>
      </c>
      <c r="H61" s="71">
        <f>SUM(H62:H71)</f>
        <v>14274000</v>
      </c>
    </row>
    <row r="62" spans="1:8" s="3" customFormat="1" ht="21.75" customHeight="1" x14ac:dyDescent="0.25">
      <c r="A62" s="857"/>
      <c r="B62" s="870"/>
      <c r="C62" s="870"/>
      <c r="D62" s="83" t="s">
        <v>194</v>
      </c>
      <c r="E62" s="30">
        <v>96</v>
      </c>
      <c r="F62" s="37">
        <v>373500</v>
      </c>
      <c r="G62" s="4">
        <v>256</v>
      </c>
      <c r="H62" s="17">
        <v>1536000</v>
      </c>
    </row>
    <row r="63" spans="1:8" s="2" customFormat="1" ht="14.25" customHeight="1" x14ac:dyDescent="0.25">
      <c r="A63" s="857"/>
      <c r="B63" s="870"/>
      <c r="C63" s="870"/>
      <c r="D63" s="83" t="s">
        <v>195</v>
      </c>
      <c r="E63" s="30">
        <v>70</v>
      </c>
      <c r="F63" s="37">
        <v>297000</v>
      </c>
      <c r="G63" s="4">
        <v>220</v>
      </c>
      <c r="H63" s="17">
        <v>1320000</v>
      </c>
    </row>
    <row r="64" spans="1:8" s="2" customFormat="1" ht="14.25" customHeight="1" x14ac:dyDescent="0.25">
      <c r="A64" s="857"/>
      <c r="B64" s="870"/>
      <c r="C64" s="870"/>
      <c r="D64" s="83" t="s">
        <v>196</v>
      </c>
      <c r="E64" s="30">
        <v>75</v>
      </c>
      <c r="F64" s="37">
        <v>280000</v>
      </c>
      <c r="G64" s="4">
        <v>235</v>
      </c>
      <c r="H64" s="17">
        <v>1410000</v>
      </c>
    </row>
    <row r="65" spans="1:8" s="2" customFormat="1" ht="14.25" customHeight="1" x14ac:dyDescent="0.25">
      <c r="A65" s="857"/>
      <c r="B65" s="870"/>
      <c r="C65" s="870"/>
      <c r="D65" s="83" t="s">
        <v>11</v>
      </c>
      <c r="E65" s="30">
        <v>74</v>
      </c>
      <c r="F65" s="37">
        <v>304500</v>
      </c>
      <c r="G65" s="4">
        <v>234</v>
      </c>
      <c r="H65" s="17">
        <v>1404000</v>
      </c>
    </row>
    <row r="66" spans="1:8" s="2" customFormat="1" ht="14.25" customHeight="1" x14ac:dyDescent="0.25">
      <c r="A66" s="857"/>
      <c r="B66" s="870"/>
      <c r="C66" s="870"/>
      <c r="D66" s="83" t="s">
        <v>12</v>
      </c>
      <c r="E66" s="30">
        <v>74</v>
      </c>
      <c r="F66" s="37">
        <v>270000</v>
      </c>
      <c r="G66" s="4">
        <v>219</v>
      </c>
      <c r="H66" s="17">
        <v>1314000</v>
      </c>
    </row>
    <row r="67" spans="1:8" s="2" customFormat="1" ht="15" customHeight="1" x14ac:dyDescent="0.25">
      <c r="A67" s="857"/>
      <c r="B67" s="870"/>
      <c r="C67" s="870"/>
      <c r="D67" s="83" t="s">
        <v>197</v>
      </c>
      <c r="E67" s="30">
        <v>82</v>
      </c>
      <c r="F67" s="37">
        <v>297000</v>
      </c>
      <c r="G67" s="4">
        <v>242</v>
      </c>
      <c r="H67" s="17">
        <v>1452000</v>
      </c>
    </row>
    <row r="68" spans="1:8" s="2" customFormat="1" ht="14.25" customHeight="1" x14ac:dyDescent="0.25">
      <c r="A68" s="857"/>
      <c r="B68" s="870"/>
      <c r="C68" s="870"/>
      <c r="D68" s="83" t="s">
        <v>147</v>
      </c>
      <c r="E68" s="30">
        <v>106</v>
      </c>
      <c r="F68" s="37">
        <v>457500</v>
      </c>
      <c r="G68" s="4">
        <v>266</v>
      </c>
      <c r="H68" s="17">
        <v>1596000</v>
      </c>
    </row>
    <row r="69" spans="1:8" s="2" customFormat="1" ht="14.25" customHeight="1" x14ac:dyDescent="0.25">
      <c r="A69" s="857"/>
      <c r="B69" s="870"/>
      <c r="C69" s="870"/>
      <c r="D69" s="83" t="s">
        <v>198</v>
      </c>
      <c r="E69" s="30">
        <v>70</v>
      </c>
      <c r="F69" s="37">
        <v>271000</v>
      </c>
      <c r="G69" s="4">
        <v>230</v>
      </c>
      <c r="H69" s="17">
        <v>1380000</v>
      </c>
    </row>
    <row r="70" spans="1:8" s="2" customFormat="1" ht="14.25" customHeight="1" x14ac:dyDescent="0.25">
      <c r="A70" s="857"/>
      <c r="B70" s="870"/>
      <c r="C70" s="870"/>
      <c r="D70" s="83" t="s">
        <v>199</v>
      </c>
      <c r="E70" s="30">
        <v>65</v>
      </c>
      <c r="F70" s="37">
        <v>189000</v>
      </c>
      <c r="G70" s="4">
        <v>205</v>
      </c>
      <c r="H70" s="17">
        <v>1230000</v>
      </c>
    </row>
    <row r="71" spans="1:8" s="2" customFormat="1" ht="14.25" customHeight="1" x14ac:dyDescent="0.25">
      <c r="A71" s="921"/>
      <c r="B71" s="873"/>
      <c r="C71" s="873"/>
      <c r="D71" s="83" t="s">
        <v>200</v>
      </c>
      <c r="E71" s="30">
        <v>112</v>
      </c>
      <c r="F71" s="37">
        <v>415500</v>
      </c>
      <c r="G71" s="4">
        <v>272</v>
      </c>
      <c r="H71" s="17">
        <v>1632000</v>
      </c>
    </row>
    <row r="72" spans="1:8" s="8" customFormat="1" ht="8.25" customHeight="1" x14ac:dyDescent="0.25">
      <c r="A72" s="7"/>
      <c r="B72" s="7"/>
      <c r="C72" s="7"/>
      <c r="D72" s="7"/>
      <c r="E72" s="7"/>
      <c r="F72" s="93"/>
      <c r="G72" s="7"/>
      <c r="H72" s="7"/>
    </row>
    <row r="73" spans="1:8" s="9" customFormat="1" ht="19.5" customHeight="1" x14ac:dyDescent="0.25">
      <c r="A73" s="869" t="s">
        <v>17</v>
      </c>
      <c r="B73" s="923" t="s">
        <v>56</v>
      </c>
      <c r="C73" s="869" t="s">
        <v>18</v>
      </c>
      <c r="D73" s="70" t="s">
        <v>80</v>
      </c>
      <c r="E73" s="70">
        <f>SUM(E74:E76)</f>
        <v>6</v>
      </c>
      <c r="F73" s="84">
        <f>SUM(F74:F76)</f>
        <v>9925</v>
      </c>
      <c r="G73" s="70">
        <f>SUM(G74:G76)</f>
        <v>0</v>
      </c>
      <c r="H73" s="71">
        <f>SUM(H74:H76)</f>
        <v>0</v>
      </c>
    </row>
    <row r="74" spans="1:8" s="3" customFormat="1" ht="16.5" customHeight="1" x14ac:dyDescent="0.25">
      <c r="A74" s="870"/>
      <c r="B74" s="924"/>
      <c r="C74" s="870"/>
      <c r="D74" s="83" t="s">
        <v>194</v>
      </c>
      <c r="E74" s="30">
        <f>1+1+2</f>
        <v>4</v>
      </c>
      <c r="F74" s="37">
        <f>1500+1000+3425</f>
        <v>5925</v>
      </c>
      <c r="G74" s="4"/>
      <c r="H74" s="17"/>
    </row>
    <row r="75" spans="1:8" s="2" customFormat="1" ht="14.25" customHeight="1" x14ac:dyDescent="0.25">
      <c r="A75" s="870"/>
      <c r="B75" s="924"/>
      <c r="C75" s="870"/>
      <c r="D75" s="83" t="s">
        <v>198</v>
      </c>
      <c r="E75" s="30">
        <f>1</f>
        <v>1</v>
      </c>
      <c r="F75" s="37">
        <f>3000</f>
        <v>3000</v>
      </c>
      <c r="G75" s="4"/>
      <c r="H75" s="17"/>
    </row>
    <row r="76" spans="1:8" s="2" customFormat="1" ht="14.25" customHeight="1" x14ac:dyDescent="0.25">
      <c r="A76" s="873"/>
      <c r="B76" s="973"/>
      <c r="C76" s="873"/>
      <c r="D76" s="83" t="s">
        <v>199</v>
      </c>
      <c r="E76" s="30">
        <f>1</f>
        <v>1</v>
      </c>
      <c r="F76" s="37">
        <f>1000</f>
        <v>1000</v>
      </c>
      <c r="G76" s="4"/>
      <c r="H76" s="17"/>
    </row>
    <row r="77" spans="1:8" s="9" customFormat="1" ht="34.5" hidden="1" customHeight="1" x14ac:dyDescent="0.25">
      <c r="A77" s="6" t="s">
        <v>22</v>
      </c>
      <c r="B77" s="831" t="s">
        <v>57</v>
      </c>
      <c r="C77" s="6" t="s">
        <v>37</v>
      </c>
      <c r="D77" s="6"/>
      <c r="E77" s="42">
        <f>SUM(E78:E83)</f>
        <v>227</v>
      </c>
      <c r="F77" s="94">
        <f>SUM(F78:F83)</f>
        <v>562960</v>
      </c>
      <c r="G77" s="6"/>
      <c r="H77" s="6"/>
    </row>
    <row r="78" spans="1:8" s="1" customFormat="1" ht="15" hidden="1" customHeight="1" x14ac:dyDescent="0.25">
      <c r="A78" s="972" t="s">
        <v>35</v>
      </c>
      <c r="B78" s="832"/>
      <c r="C78" s="5"/>
      <c r="D78" s="4" t="s">
        <v>42</v>
      </c>
      <c r="E78" s="44"/>
      <c r="F78" s="41"/>
      <c r="G78" s="5"/>
      <c r="H78" s="4" t="s">
        <v>8</v>
      </c>
    </row>
    <row r="79" spans="1:8" s="1" customFormat="1" ht="15" hidden="1" customHeight="1" x14ac:dyDescent="0.25">
      <c r="A79" s="918"/>
      <c r="B79" s="833"/>
      <c r="C79" s="5"/>
      <c r="D79" s="4" t="s">
        <v>43</v>
      </c>
      <c r="E79" s="44"/>
      <c r="F79" s="38"/>
      <c r="G79" s="5"/>
      <c r="H79" s="4" t="s">
        <v>9</v>
      </c>
    </row>
    <row r="80" spans="1:8" s="1" customFormat="1" ht="15" hidden="1" customHeight="1" x14ac:dyDescent="0.25">
      <c r="A80" s="918"/>
      <c r="B80" s="211"/>
      <c r="C80" s="5"/>
      <c r="D80" s="4" t="s">
        <v>44</v>
      </c>
      <c r="E80" s="45">
        <v>227</v>
      </c>
      <c r="F80" s="39">
        <v>562960</v>
      </c>
      <c r="G80" s="5"/>
      <c r="H80" s="4" t="s">
        <v>10</v>
      </c>
    </row>
    <row r="81" spans="1:9" s="1" customFormat="1" ht="15" hidden="1" customHeight="1" x14ac:dyDescent="0.25">
      <c r="A81" s="918"/>
      <c r="B81" s="211"/>
      <c r="C81" s="5"/>
      <c r="D81" s="4" t="s">
        <v>45</v>
      </c>
      <c r="E81" s="44"/>
      <c r="F81" s="39"/>
      <c r="G81" s="5"/>
      <c r="H81" s="4" t="s">
        <v>11</v>
      </c>
    </row>
    <row r="82" spans="1:9" s="1" customFormat="1" ht="15" hidden="1" customHeight="1" x14ac:dyDescent="0.25">
      <c r="A82" s="918"/>
      <c r="B82" s="211"/>
      <c r="C82" s="5"/>
      <c r="D82" s="4" t="s">
        <v>46</v>
      </c>
      <c r="E82" s="44"/>
      <c r="F82" s="39"/>
      <c r="G82" s="5"/>
      <c r="H82" s="4" t="s">
        <v>12</v>
      </c>
    </row>
    <row r="83" spans="1:9" s="1" customFormat="1" ht="15" hidden="1" customHeight="1" x14ac:dyDescent="0.25">
      <c r="A83" s="918"/>
      <c r="B83" s="211"/>
      <c r="C83" s="5"/>
      <c r="D83" s="4" t="s">
        <v>47</v>
      </c>
      <c r="E83" s="44"/>
      <c r="F83" s="40"/>
      <c r="G83" s="5"/>
      <c r="H83" s="4" t="s">
        <v>13</v>
      </c>
    </row>
    <row r="84" spans="1:9" s="8" customFormat="1" ht="8.25" hidden="1" customHeight="1" x14ac:dyDescent="0.25">
      <c r="A84" s="7"/>
      <c r="B84" s="7"/>
      <c r="C84" s="7"/>
      <c r="D84" s="7"/>
      <c r="E84" s="7"/>
      <c r="F84" s="93"/>
      <c r="G84" s="7"/>
      <c r="H84" s="7"/>
    </row>
    <row r="85" spans="1:9" s="9" customFormat="1" ht="22.5" customHeight="1" x14ac:dyDescent="0.25">
      <c r="A85" s="869" t="s">
        <v>23</v>
      </c>
      <c r="B85" s="867" t="s">
        <v>58</v>
      </c>
      <c r="C85" s="869" t="s">
        <v>24</v>
      </c>
      <c r="D85" s="70" t="s">
        <v>80</v>
      </c>
      <c r="E85" s="70">
        <f>SUM(E86:E93)</f>
        <v>9164</v>
      </c>
      <c r="F85" s="84">
        <f>SUM(F86:F93)</f>
        <v>2320700</v>
      </c>
      <c r="G85" s="70">
        <f>SUM(G86:G93)</f>
        <v>0</v>
      </c>
      <c r="H85" s="71">
        <f>SUM(H86:H93)</f>
        <v>0</v>
      </c>
      <c r="I85" s="66"/>
    </row>
    <row r="86" spans="1:9" s="9" customFormat="1" ht="20.25" customHeight="1" x14ac:dyDescent="0.25">
      <c r="A86" s="870"/>
      <c r="B86" s="868"/>
      <c r="C86" s="870"/>
      <c r="D86" s="83" t="s">
        <v>194</v>
      </c>
      <c r="E86" s="30">
        <f>500</f>
        <v>500</v>
      </c>
      <c r="F86" s="37">
        <f>125000</f>
        <v>125000</v>
      </c>
      <c r="G86" s="4"/>
      <c r="H86" s="17"/>
      <c r="I86" s="66"/>
    </row>
    <row r="87" spans="1:9" s="3" customFormat="1" ht="20.25" customHeight="1" x14ac:dyDescent="0.25">
      <c r="A87" s="870"/>
      <c r="B87" s="868"/>
      <c r="C87" s="870"/>
      <c r="D87" s="83" t="s">
        <v>195</v>
      </c>
      <c r="E87" s="30">
        <f>297</f>
        <v>297</v>
      </c>
      <c r="F87" s="37">
        <f>78570</f>
        <v>78570</v>
      </c>
      <c r="G87" s="4"/>
      <c r="H87" s="17"/>
    </row>
    <row r="88" spans="1:9" s="2" customFormat="1" ht="14.25" customHeight="1" x14ac:dyDescent="0.25">
      <c r="A88" s="870"/>
      <c r="B88" s="868"/>
      <c r="C88" s="870"/>
      <c r="D88" s="83" t="s">
        <v>196</v>
      </c>
      <c r="E88" s="30">
        <v>1467</v>
      </c>
      <c r="F88" s="37">
        <v>366770</v>
      </c>
      <c r="G88" s="4"/>
      <c r="H88" s="17"/>
    </row>
    <row r="89" spans="1:9" s="2" customFormat="1" ht="14.25" customHeight="1" x14ac:dyDescent="0.25">
      <c r="A89" s="870"/>
      <c r="B89" s="868"/>
      <c r="C89" s="870"/>
      <c r="D89" s="83" t="s">
        <v>11</v>
      </c>
      <c r="E89" s="30">
        <v>500</v>
      </c>
      <c r="F89" s="37">
        <v>122125</v>
      </c>
      <c r="G89" s="4"/>
      <c r="H89" s="17"/>
    </row>
    <row r="90" spans="1:9" s="2" customFormat="1" ht="14.25" customHeight="1" x14ac:dyDescent="0.25">
      <c r="A90" s="870"/>
      <c r="B90" s="868"/>
      <c r="C90" s="870"/>
      <c r="D90" s="83" t="s">
        <v>12</v>
      </c>
      <c r="E90" s="30">
        <f>1950+500</f>
        <v>2450</v>
      </c>
      <c r="F90" s="37">
        <f>487655+125000</f>
        <v>612655</v>
      </c>
      <c r="G90" s="4"/>
      <c r="H90" s="17"/>
    </row>
    <row r="91" spans="1:9" s="2" customFormat="1" ht="14.25" customHeight="1" x14ac:dyDescent="0.25">
      <c r="A91" s="870"/>
      <c r="B91" s="868"/>
      <c r="C91" s="870"/>
      <c r="D91" s="83" t="s">
        <v>197</v>
      </c>
      <c r="E91" s="30"/>
      <c r="F91" s="37"/>
      <c r="G91" s="4"/>
      <c r="H91" s="17"/>
    </row>
    <row r="92" spans="1:9" s="2" customFormat="1" ht="14.25" customHeight="1" x14ac:dyDescent="0.25">
      <c r="A92" s="870"/>
      <c r="B92" s="868"/>
      <c r="C92" s="870"/>
      <c r="D92" s="83" t="s">
        <v>147</v>
      </c>
      <c r="E92" s="30">
        <f>500</f>
        <v>500</v>
      </c>
      <c r="F92" s="37">
        <f>152925</f>
        <v>152925</v>
      </c>
      <c r="G92" s="4"/>
      <c r="H92" s="17"/>
    </row>
    <row r="93" spans="1:9" s="2" customFormat="1" ht="14.25" customHeight="1" x14ac:dyDescent="0.25">
      <c r="A93" s="870"/>
      <c r="B93" s="868"/>
      <c r="C93" s="870"/>
      <c r="D93" s="83" t="s">
        <v>200</v>
      </c>
      <c r="E93" s="30">
        <v>3450</v>
      </c>
      <c r="F93" s="37">
        <f>612655+250000</f>
        <v>862655</v>
      </c>
      <c r="G93" s="4"/>
      <c r="H93" s="17"/>
    </row>
    <row r="94" spans="1:9" s="2" customFormat="1" ht="14.25" customHeight="1" x14ac:dyDescent="0.25">
      <c r="A94" s="873"/>
      <c r="B94" s="874"/>
      <c r="C94" s="873"/>
      <c r="D94" s="83" t="s">
        <v>222</v>
      </c>
      <c r="E94" s="30">
        <v>1000</v>
      </c>
      <c r="F94" s="37">
        <v>250000</v>
      </c>
      <c r="G94" s="4"/>
      <c r="H94" s="17"/>
    </row>
    <row r="95" spans="1:9" s="8" customFormat="1" ht="8.25" hidden="1" customHeight="1" x14ac:dyDescent="0.25">
      <c r="A95" s="7"/>
      <c r="B95" s="7"/>
      <c r="C95" s="7"/>
      <c r="D95" s="7"/>
      <c r="E95" s="7"/>
      <c r="F95" s="93"/>
      <c r="G95" s="7"/>
      <c r="H95" s="7"/>
    </row>
    <row r="96" spans="1:9" s="9" customFormat="1" ht="30" hidden="1" customHeight="1" x14ac:dyDescent="0.25">
      <c r="A96" s="214" t="s">
        <v>63</v>
      </c>
      <c r="B96" s="831" t="s">
        <v>64</v>
      </c>
      <c r="C96" s="6" t="s">
        <v>65</v>
      </c>
      <c r="D96" s="70" t="s">
        <v>81</v>
      </c>
      <c r="E96" s="64" t="e">
        <f>SUM(#REF!)</f>
        <v>#REF!</v>
      </c>
      <c r="F96" s="78" t="e">
        <f>SUM(#REF!)</f>
        <v>#REF!</v>
      </c>
      <c r="G96" s="63" t="e">
        <f>#REF!+#REF!</f>
        <v>#REF!</v>
      </c>
      <c r="H96" s="78" t="e">
        <f>#REF!+#REF!</f>
        <v>#REF!</v>
      </c>
    </row>
    <row r="97" spans="1:8" s="3" customFormat="1" ht="27.75" hidden="1" customHeight="1" x14ac:dyDescent="0.25">
      <c r="A97" s="6"/>
      <c r="B97" s="879"/>
      <c r="C97" s="6"/>
      <c r="D97" s="70" t="s">
        <v>79</v>
      </c>
      <c r="E97" s="70">
        <f>SUM(E98:E101)</f>
        <v>0</v>
      </c>
      <c r="F97" s="84">
        <f>SUM(F98:F101)</f>
        <v>0</v>
      </c>
      <c r="G97" s="70">
        <f>SUM(G98:G101)</f>
        <v>0</v>
      </c>
      <c r="H97" s="71">
        <f>SUM(H98:H101)</f>
        <v>0</v>
      </c>
    </row>
    <row r="98" spans="1:8" s="2" customFormat="1" ht="14.25" hidden="1" customHeight="1" x14ac:dyDescent="0.25">
      <c r="A98" s="18"/>
      <c r="B98" s="879"/>
      <c r="C98" s="6"/>
      <c r="D98" s="83" t="s">
        <v>190</v>
      </c>
      <c r="E98" s="30"/>
      <c r="F98" s="37"/>
      <c r="G98" s="4"/>
      <c r="H98" s="17"/>
    </row>
    <row r="99" spans="1:8" s="2" customFormat="1" ht="14.25" hidden="1" customHeight="1" x14ac:dyDescent="0.25">
      <c r="A99" s="972"/>
      <c r="B99" s="879"/>
      <c r="C99" s="6"/>
      <c r="D99" s="83" t="s">
        <v>191</v>
      </c>
      <c r="E99" s="30"/>
      <c r="F99" s="37"/>
      <c r="G99" s="4"/>
      <c r="H99" s="17"/>
    </row>
    <row r="100" spans="1:8" s="2" customFormat="1" ht="14.25" hidden="1" customHeight="1" x14ac:dyDescent="0.25">
      <c r="A100" s="918"/>
      <c r="B100" s="879"/>
      <c r="C100" s="6"/>
      <c r="D100" s="83" t="s">
        <v>192</v>
      </c>
      <c r="E100" s="30"/>
      <c r="F100" s="37"/>
      <c r="G100" s="4"/>
      <c r="H100" s="17"/>
    </row>
    <row r="101" spans="1:8" s="2" customFormat="1" ht="14.25" hidden="1" customHeight="1" x14ac:dyDescent="0.25">
      <c r="A101" s="918"/>
      <c r="B101" s="879"/>
      <c r="C101" s="6"/>
      <c r="D101" s="83" t="s">
        <v>193</v>
      </c>
      <c r="E101" s="30"/>
      <c r="F101" s="37"/>
      <c r="G101" s="4"/>
      <c r="H101" s="17"/>
    </row>
    <row r="102" spans="1:8" s="2" customFormat="1" ht="24" hidden="1" customHeight="1" x14ac:dyDescent="0.25">
      <c r="A102" s="211"/>
      <c r="B102" s="879"/>
      <c r="C102" s="6"/>
      <c r="D102" s="70" t="s">
        <v>80</v>
      </c>
      <c r="E102" s="70">
        <f>SUM(E103:E112)</f>
        <v>0</v>
      </c>
      <c r="F102" s="84">
        <f>SUM(F103:F112)</f>
        <v>0</v>
      </c>
      <c r="G102" s="70">
        <f>SUM(G103:G112)</f>
        <v>0</v>
      </c>
      <c r="H102" s="71">
        <f>SUM(H103:H112)</f>
        <v>0</v>
      </c>
    </row>
    <row r="103" spans="1:8" s="2" customFormat="1" ht="14.25" hidden="1" customHeight="1" x14ac:dyDescent="0.25">
      <c r="A103" s="211"/>
      <c r="B103" s="879"/>
      <c r="C103" s="6"/>
      <c r="D103" s="83" t="s">
        <v>194</v>
      </c>
      <c r="E103" s="30"/>
      <c r="F103" s="37"/>
      <c r="G103" s="4"/>
      <c r="H103" s="17"/>
    </row>
    <row r="104" spans="1:8" s="2" customFormat="1" ht="14.25" hidden="1" customHeight="1" x14ac:dyDescent="0.25">
      <c r="A104" s="211"/>
      <c r="B104" s="879"/>
      <c r="C104" s="6"/>
      <c r="D104" s="83" t="s">
        <v>195</v>
      </c>
      <c r="E104" s="30"/>
      <c r="F104" s="37"/>
      <c r="G104" s="4"/>
      <c r="H104" s="17"/>
    </row>
    <row r="105" spans="1:8" s="2" customFormat="1" ht="14.25" hidden="1" customHeight="1" x14ac:dyDescent="0.25">
      <c r="A105" s="211"/>
      <c r="B105" s="879"/>
      <c r="C105" s="6"/>
      <c r="D105" s="83" t="s">
        <v>196</v>
      </c>
      <c r="E105" s="30"/>
      <c r="F105" s="37"/>
      <c r="G105" s="4"/>
      <c r="H105" s="17"/>
    </row>
    <row r="106" spans="1:8" s="2" customFormat="1" ht="14.25" hidden="1" customHeight="1" x14ac:dyDescent="0.25">
      <c r="A106" s="211"/>
      <c r="B106" s="879"/>
      <c r="C106" s="6"/>
      <c r="D106" s="83" t="s">
        <v>11</v>
      </c>
      <c r="E106" s="30"/>
      <c r="F106" s="37"/>
      <c r="G106" s="4"/>
      <c r="H106" s="17"/>
    </row>
    <row r="107" spans="1:8" s="2" customFormat="1" ht="14.25" hidden="1" customHeight="1" x14ac:dyDescent="0.25">
      <c r="A107" s="211"/>
      <c r="B107" s="879"/>
      <c r="C107" s="6"/>
      <c r="D107" s="83" t="s">
        <v>12</v>
      </c>
      <c r="E107" s="30"/>
      <c r="F107" s="37"/>
      <c r="G107" s="4"/>
      <c r="H107" s="17"/>
    </row>
    <row r="108" spans="1:8" s="2" customFormat="1" ht="14.25" hidden="1" customHeight="1" x14ac:dyDescent="0.25">
      <c r="A108" s="211"/>
      <c r="B108" s="879"/>
      <c r="C108" s="6"/>
      <c r="D108" s="83" t="s">
        <v>197</v>
      </c>
      <c r="E108" s="30"/>
      <c r="F108" s="37"/>
      <c r="G108" s="4"/>
      <c r="H108" s="17"/>
    </row>
    <row r="109" spans="1:8" s="2" customFormat="1" ht="14.25" hidden="1" customHeight="1" x14ac:dyDescent="0.25">
      <c r="A109" s="211"/>
      <c r="B109" s="879"/>
      <c r="C109" s="6"/>
      <c r="D109" s="83" t="s">
        <v>147</v>
      </c>
      <c r="E109" s="30"/>
      <c r="F109" s="37"/>
      <c r="G109" s="4"/>
      <c r="H109" s="17"/>
    </row>
    <row r="110" spans="1:8" s="2" customFormat="1" ht="14.25" hidden="1" customHeight="1" x14ac:dyDescent="0.25">
      <c r="A110" s="211"/>
      <c r="B110" s="879"/>
      <c r="C110" s="6"/>
      <c r="D110" s="83" t="s">
        <v>198</v>
      </c>
      <c r="E110" s="30"/>
      <c r="F110" s="37"/>
      <c r="G110" s="4"/>
      <c r="H110" s="17"/>
    </row>
    <row r="111" spans="1:8" s="2" customFormat="1" ht="14.25" hidden="1" customHeight="1" x14ac:dyDescent="0.25">
      <c r="A111" s="211"/>
      <c r="B111" s="879"/>
      <c r="C111" s="6"/>
      <c r="D111" s="83" t="s">
        <v>199</v>
      </c>
      <c r="E111" s="30"/>
      <c r="F111" s="37"/>
      <c r="G111" s="4"/>
      <c r="H111" s="17"/>
    </row>
    <row r="112" spans="1:8" s="2" customFormat="1" ht="14.25" hidden="1" customHeight="1" x14ac:dyDescent="0.25">
      <c r="A112" s="211"/>
      <c r="B112" s="879"/>
      <c r="C112" s="214"/>
      <c r="D112" s="86" t="s">
        <v>200</v>
      </c>
      <c r="E112" s="225"/>
      <c r="F112" s="226"/>
      <c r="G112" s="220"/>
      <c r="H112" s="145"/>
    </row>
    <row r="113" spans="1:8" s="123" customFormat="1" ht="8.25" customHeight="1" x14ac:dyDescent="0.25">
      <c r="F113" s="174"/>
    </row>
    <row r="114" spans="1:8" s="123" customFormat="1" ht="8.25" customHeight="1" x14ac:dyDescent="0.25">
      <c r="F114" s="174"/>
    </row>
    <row r="115" spans="1:8" s="9" customFormat="1" ht="18.75" customHeight="1" x14ac:dyDescent="0.25">
      <c r="A115" s="869" t="s">
        <v>67</v>
      </c>
      <c r="B115" s="867" t="s">
        <v>68</v>
      </c>
      <c r="C115" s="869" t="s">
        <v>65</v>
      </c>
      <c r="D115" s="70" t="s">
        <v>80</v>
      </c>
      <c r="E115" s="70">
        <f>SUM(E116:E125)</f>
        <v>1450</v>
      </c>
      <c r="F115" s="84">
        <f>SUM(F116:F125)</f>
        <v>1366000</v>
      </c>
      <c r="G115" s="70">
        <f>SUM(G116:G125)</f>
        <v>0</v>
      </c>
      <c r="H115" s="71">
        <f>SUM(H116:H125)</f>
        <v>0</v>
      </c>
    </row>
    <row r="116" spans="1:8" s="3" customFormat="1" ht="18.75" customHeight="1" x14ac:dyDescent="0.25">
      <c r="A116" s="870"/>
      <c r="B116" s="868"/>
      <c r="C116" s="870"/>
      <c r="D116" s="83" t="s">
        <v>194</v>
      </c>
      <c r="E116" s="30">
        <f>100</f>
        <v>100</v>
      </c>
      <c r="F116" s="37">
        <f>25000</f>
        <v>25000</v>
      </c>
      <c r="G116" s="4"/>
      <c r="H116" s="17"/>
    </row>
    <row r="117" spans="1:8" s="2" customFormat="1" ht="14.25" customHeight="1" x14ac:dyDescent="0.25">
      <c r="A117" s="870"/>
      <c r="B117" s="868"/>
      <c r="C117" s="870"/>
      <c r="D117" s="83" t="s">
        <v>195</v>
      </c>
      <c r="E117" s="30">
        <f>100</f>
        <v>100</v>
      </c>
      <c r="F117" s="37">
        <f>25000</f>
        <v>25000</v>
      </c>
      <c r="G117" s="4"/>
      <c r="H117" s="17"/>
    </row>
    <row r="118" spans="1:8" s="2" customFormat="1" ht="14.25" customHeight="1" x14ac:dyDescent="0.25">
      <c r="A118" s="870"/>
      <c r="B118" s="868"/>
      <c r="C118" s="870"/>
      <c r="D118" s="83" t="s">
        <v>196</v>
      </c>
      <c r="E118" s="30">
        <f>100</f>
        <v>100</v>
      </c>
      <c r="F118" s="37">
        <f>25000</f>
        <v>25000</v>
      </c>
      <c r="G118" s="4"/>
      <c r="H118" s="17"/>
    </row>
    <row r="119" spans="1:8" s="2" customFormat="1" ht="14.25" customHeight="1" x14ac:dyDescent="0.25">
      <c r="A119" s="870"/>
      <c r="B119" s="868"/>
      <c r="C119" s="870"/>
      <c r="D119" s="83" t="s">
        <v>11</v>
      </c>
      <c r="E119" s="30">
        <f>100</f>
        <v>100</v>
      </c>
      <c r="F119" s="37">
        <f>25000</f>
        <v>25000</v>
      </c>
      <c r="G119" s="4"/>
      <c r="H119" s="17"/>
    </row>
    <row r="120" spans="1:8" s="2" customFormat="1" ht="14.25" customHeight="1" x14ac:dyDescent="0.25">
      <c r="A120" s="870"/>
      <c r="B120" s="868"/>
      <c r="C120" s="870"/>
      <c r="D120" s="83" t="s">
        <v>12</v>
      </c>
      <c r="E120" s="30">
        <f>100</f>
        <v>100</v>
      </c>
      <c r="F120" s="37">
        <f>25000</f>
        <v>25000</v>
      </c>
      <c r="G120" s="4"/>
      <c r="H120" s="17"/>
    </row>
    <row r="121" spans="1:8" s="2" customFormat="1" ht="15" customHeight="1" x14ac:dyDescent="0.25">
      <c r="A121" s="870"/>
      <c r="B121" s="868"/>
      <c r="C121" s="870"/>
      <c r="D121" s="83" t="s">
        <v>197</v>
      </c>
      <c r="E121" s="30">
        <f>100</f>
        <v>100</v>
      </c>
      <c r="F121" s="37">
        <f>25000</f>
        <v>25000</v>
      </c>
      <c r="G121" s="4"/>
      <c r="H121" s="17"/>
    </row>
    <row r="122" spans="1:8" s="2" customFormat="1" ht="14.25" customHeight="1" x14ac:dyDescent="0.25">
      <c r="A122" s="870"/>
      <c r="B122" s="868"/>
      <c r="C122" s="870"/>
      <c r="D122" s="83" t="s">
        <v>147</v>
      </c>
      <c r="E122" s="30">
        <f>225+100</f>
        <v>325</v>
      </c>
      <c r="F122" s="37">
        <f>558000+25000</f>
        <v>583000</v>
      </c>
      <c r="G122" s="4"/>
      <c r="H122" s="17"/>
    </row>
    <row r="123" spans="1:8" s="2" customFormat="1" ht="14.25" customHeight="1" x14ac:dyDescent="0.25">
      <c r="A123" s="870"/>
      <c r="B123" s="868"/>
      <c r="C123" s="870"/>
      <c r="D123" s="83" t="s">
        <v>198</v>
      </c>
      <c r="E123" s="30">
        <f>100</f>
        <v>100</v>
      </c>
      <c r="F123" s="37">
        <f>25000</f>
        <v>25000</v>
      </c>
      <c r="G123" s="4"/>
      <c r="H123" s="17"/>
    </row>
    <row r="124" spans="1:8" s="2" customFormat="1" ht="14.25" customHeight="1" x14ac:dyDescent="0.25">
      <c r="A124" s="870"/>
      <c r="B124" s="868"/>
      <c r="C124" s="870"/>
      <c r="D124" s="83" t="s">
        <v>199</v>
      </c>
      <c r="E124" s="30">
        <f>100</f>
        <v>100</v>
      </c>
      <c r="F124" s="37">
        <f>25000</f>
        <v>25000</v>
      </c>
      <c r="G124" s="4"/>
      <c r="H124" s="17"/>
    </row>
    <row r="125" spans="1:8" s="2" customFormat="1" ht="14.25" customHeight="1" x14ac:dyDescent="0.25">
      <c r="A125" s="873"/>
      <c r="B125" s="874"/>
      <c r="C125" s="873"/>
      <c r="D125" s="83" t="s">
        <v>200</v>
      </c>
      <c r="E125" s="30">
        <f>225+100</f>
        <v>325</v>
      </c>
      <c r="F125" s="37">
        <f>558000+25000</f>
        <v>583000</v>
      </c>
      <c r="G125" s="220"/>
      <c r="H125" s="145"/>
    </row>
    <row r="126" spans="1:8" s="9" customFormat="1" ht="18.75" customHeight="1" x14ac:dyDescent="0.25">
      <c r="A126" s="869" t="s">
        <v>201</v>
      </c>
      <c r="B126" s="867" t="s">
        <v>202</v>
      </c>
      <c r="C126" s="869" t="s">
        <v>65</v>
      </c>
      <c r="D126" s="224" t="s">
        <v>80</v>
      </c>
      <c r="E126" s="224">
        <f>SUM(E127:E127)</f>
        <v>9</v>
      </c>
      <c r="F126" s="231">
        <f>SUM(F127:F127)</f>
        <v>12500</v>
      </c>
      <c r="G126" s="70">
        <f>SUM(G127:G127)</f>
        <v>0</v>
      </c>
      <c r="H126" s="71">
        <f>SUM(H127:H127)</f>
        <v>0</v>
      </c>
    </row>
    <row r="127" spans="1:8" s="2" customFormat="1" ht="52.5" customHeight="1" x14ac:dyDescent="0.25">
      <c r="A127" s="873"/>
      <c r="B127" s="874"/>
      <c r="C127" s="873"/>
      <c r="D127" s="195" t="s">
        <v>11</v>
      </c>
      <c r="E127" s="233">
        <f>9</f>
        <v>9</v>
      </c>
      <c r="F127" s="234">
        <f>12500</f>
        <v>12500</v>
      </c>
      <c r="G127" s="196"/>
      <c r="H127" s="197"/>
    </row>
    <row r="128" spans="1:8" x14ac:dyDescent="0.25">
      <c r="A128" t="s">
        <v>26</v>
      </c>
      <c r="B128" t="s">
        <v>28</v>
      </c>
      <c r="D128" t="s">
        <v>31</v>
      </c>
      <c r="F128"/>
    </row>
    <row r="129" spans="1:6" x14ac:dyDescent="0.25">
      <c r="F129"/>
    </row>
    <row r="130" spans="1:6" x14ac:dyDescent="0.25">
      <c r="F130"/>
    </row>
    <row r="131" spans="1:6" x14ac:dyDescent="0.25">
      <c r="F131"/>
    </row>
    <row r="132" spans="1:6" x14ac:dyDescent="0.25">
      <c r="A132" t="s">
        <v>27</v>
      </c>
      <c r="B132" t="s">
        <v>29</v>
      </c>
      <c r="D132" t="s">
        <v>32</v>
      </c>
      <c r="F132"/>
    </row>
    <row r="133" spans="1:6" x14ac:dyDescent="0.25">
      <c r="A133" t="s">
        <v>223</v>
      </c>
      <c r="B133" t="s">
        <v>30</v>
      </c>
      <c r="D133" t="s">
        <v>33</v>
      </c>
      <c r="F133"/>
    </row>
  </sheetData>
  <mergeCells count="39">
    <mergeCell ref="B126:B127"/>
    <mergeCell ref="A73:A76"/>
    <mergeCell ref="B73:B76"/>
    <mergeCell ref="C73:C76"/>
    <mergeCell ref="A85:A94"/>
    <mergeCell ref="B85:B94"/>
    <mergeCell ref="C85:C94"/>
    <mergeCell ref="A126:A127"/>
    <mergeCell ref="C126:C127"/>
    <mergeCell ref="C115:C125"/>
    <mergeCell ref="A11:A21"/>
    <mergeCell ref="B11:B21"/>
    <mergeCell ref="C11:C21"/>
    <mergeCell ref="A23:A33"/>
    <mergeCell ref="C23:C33"/>
    <mergeCell ref="A50:A60"/>
    <mergeCell ref="B96:B112"/>
    <mergeCell ref="A99:A101"/>
    <mergeCell ref="A115:A125"/>
    <mergeCell ref="B115:B125"/>
    <mergeCell ref="B77:B79"/>
    <mergeCell ref="A78:A83"/>
    <mergeCell ref="A61:A71"/>
    <mergeCell ref="B61:B71"/>
    <mergeCell ref="C61:C71"/>
    <mergeCell ref="B23:B33"/>
    <mergeCell ref="B50:B60"/>
    <mergeCell ref="C50:C60"/>
    <mergeCell ref="G7:H7"/>
    <mergeCell ref="A1:H1"/>
    <mergeCell ref="A2:H2"/>
    <mergeCell ref="A4:H4"/>
    <mergeCell ref="A5:H5"/>
    <mergeCell ref="A7:A8"/>
    <mergeCell ref="B7:B8"/>
    <mergeCell ref="C7:C8"/>
    <mergeCell ref="D7:D8"/>
    <mergeCell ref="E7:E8"/>
    <mergeCell ref="F7:F8"/>
  </mergeCells>
  <printOptions horizontalCentered="1"/>
  <pageMargins left="0.52" right="0.92" top="0.68" bottom="0.69" header="0.3" footer="0.4"/>
  <pageSetup paperSize="9" scale="80" orientation="landscape" verticalDpi="300" r:id="rId1"/>
  <headerFooter>
    <oddFooter>&amp;L2nd District of Zambales&amp;CPage &amp;P of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6" sqref="A6:F12"/>
    </sheetView>
  </sheetViews>
  <sheetFormatPr defaultRowHeight="15" x14ac:dyDescent="0.25"/>
  <cols>
    <col min="1" max="1" width="30.85546875" customWidth="1"/>
    <col min="2" max="2" width="42" customWidth="1"/>
    <col min="3" max="3" width="18" customWidth="1"/>
    <col min="4" max="4" width="12.140625" customWidth="1"/>
    <col min="5" max="5" width="18.5703125" customWidth="1"/>
  </cols>
  <sheetData>
    <row r="1" spans="1:5" x14ac:dyDescent="0.25">
      <c r="A1" s="858" t="s">
        <v>39</v>
      </c>
      <c r="B1" s="858"/>
      <c r="C1" s="858"/>
      <c r="D1" s="858"/>
      <c r="E1" s="858"/>
    </row>
    <row r="2" spans="1:5" x14ac:dyDescent="0.25">
      <c r="A2" s="858" t="s">
        <v>40</v>
      </c>
      <c r="B2" s="858"/>
      <c r="C2" s="858"/>
      <c r="D2" s="858"/>
      <c r="E2" s="858"/>
    </row>
    <row r="3" spans="1:5" x14ac:dyDescent="0.25">
      <c r="A3" s="235"/>
      <c r="B3" s="235"/>
      <c r="C3" s="235"/>
      <c r="D3" s="235"/>
      <c r="E3" s="235"/>
    </row>
    <row r="4" spans="1:5" s="47" customFormat="1" ht="15.75" x14ac:dyDescent="0.25">
      <c r="A4" s="844" t="s">
        <v>287</v>
      </c>
      <c r="B4" s="844"/>
      <c r="C4" s="844"/>
      <c r="D4" s="844"/>
      <c r="E4" s="844"/>
    </row>
    <row r="5" spans="1:5" s="48" customFormat="1" x14ac:dyDescent="0.25"/>
    <row r="6" spans="1:5" s="3" customFormat="1" ht="15" customHeight="1" x14ac:dyDescent="0.25">
      <c r="A6" s="859" t="s">
        <v>0</v>
      </c>
      <c r="B6" s="860" t="s">
        <v>51</v>
      </c>
      <c r="C6" s="862" t="s">
        <v>3</v>
      </c>
      <c r="D6" s="860" t="s">
        <v>253</v>
      </c>
      <c r="E6" s="859" t="s">
        <v>254</v>
      </c>
    </row>
    <row r="7" spans="1:5" s="3" customFormat="1" ht="21" customHeight="1" x14ac:dyDescent="0.25">
      <c r="A7" s="859"/>
      <c r="B7" s="861"/>
      <c r="C7" s="863"/>
      <c r="D7" s="861"/>
      <c r="E7" s="859"/>
    </row>
    <row r="8" spans="1:5" s="3" customFormat="1" ht="27.75" customHeight="1" x14ac:dyDescent="0.25">
      <c r="A8" s="928" t="s">
        <v>252</v>
      </c>
      <c r="B8" s="1047" t="s">
        <v>251</v>
      </c>
      <c r="C8" s="224" t="s">
        <v>272</v>
      </c>
      <c r="D8" s="224">
        <f>SUM(D9:D10)</f>
        <v>2</v>
      </c>
      <c r="E8" s="84">
        <f>SUM(E9:E10)</f>
        <v>3837500</v>
      </c>
    </row>
    <row r="9" spans="1:5" s="3" customFormat="1" ht="21.75" customHeight="1" x14ac:dyDescent="0.25">
      <c r="A9" s="928"/>
      <c r="B9" s="1047"/>
      <c r="C9" s="259" t="s">
        <v>13</v>
      </c>
      <c r="D9" s="260">
        <v>1</v>
      </c>
      <c r="E9" s="261">
        <v>2337500</v>
      </c>
    </row>
    <row r="10" spans="1:5" s="3" customFormat="1" ht="54.75" customHeight="1" x14ac:dyDescent="0.25">
      <c r="A10" s="928"/>
      <c r="B10" s="1047"/>
      <c r="C10" s="259" t="s">
        <v>200</v>
      </c>
      <c r="D10" s="260">
        <v>1</v>
      </c>
      <c r="E10" s="261">
        <v>1500000</v>
      </c>
    </row>
    <row r="11" spans="1:5" ht="21" customHeight="1" x14ac:dyDescent="0.3">
      <c r="A11" s="52"/>
      <c r="B11" s="258"/>
      <c r="C11" s="115"/>
      <c r="D11" s="251"/>
      <c r="E11" s="252"/>
    </row>
    <row r="12" spans="1:5" ht="15" customHeight="1" x14ac:dyDescent="0.25">
      <c r="A12" s="52"/>
      <c r="B12" s="258"/>
      <c r="C12" s="115"/>
      <c r="D12" s="251"/>
      <c r="E12" s="252"/>
    </row>
    <row r="13" spans="1:5" x14ac:dyDescent="0.25">
      <c r="A13" t="s">
        <v>27</v>
      </c>
      <c r="B13" t="s">
        <v>29</v>
      </c>
      <c r="D13" t="s">
        <v>32</v>
      </c>
    </row>
    <row r="14" spans="1:5" x14ac:dyDescent="0.25">
      <c r="A14" t="s">
        <v>223</v>
      </c>
      <c r="B14" t="s">
        <v>30</v>
      </c>
      <c r="D14" t="s">
        <v>33</v>
      </c>
    </row>
  </sheetData>
  <mergeCells count="10">
    <mergeCell ref="A8:A10"/>
    <mergeCell ref="B8:B10"/>
    <mergeCell ref="A1:E1"/>
    <mergeCell ref="A2:E2"/>
    <mergeCell ref="A4:E4"/>
    <mergeCell ref="A6:A7"/>
    <mergeCell ref="B6:B7"/>
    <mergeCell ref="C6:C7"/>
    <mergeCell ref="D6:D7"/>
    <mergeCell ref="E6:E7"/>
  </mergeCells>
  <printOptions horizontalCentered="1"/>
  <pageMargins left="0.52" right="0.56999999999999995" top="0.68" bottom="0.69" header="0.3" footer="0.4"/>
  <pageSetup paperSize="9" scale="80" orientation="landscape" verticalDpi="300" r:id="rId1"/>
  <headerFooter>
    <oddFooter>&amp;LLone Dist of Aurora
&amp;CPage &amp;P of &amp;N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45" workbookViewId="0">
      <selection activeCell="A6" sqref="A6:F12"/>
    </sheetView>
  </sheetViews>
  <sheetFormatPr defaultRowHeight="15" x14ac:dyDescent="0.25"/>
  <cols>
    <col min="1" max="1" width="30.85546875" customWidth="1"/>
    <col min="2" max="2" width="42" customWidth="1"/>
    <col min="3" max="3" width="13.42578125" customWidth="1"/>
    <col min="4" max="4" width="10.85546875" customWidth="1"/>
    <col min="5" max="5" width="16.42578125" style="97" customWidth="1"/>
    <col min="6" max="6" width="11.140625" customWidth="1"/>
    <col min="7" max="7" width="17.42578125" customWidth="1"/>
  </cols>
  <sheetData>
    <row r="1" spans="1:7" x14ac:dyDescent="0.25">
      <c r="A1" s="858" t="s">
        <v>39</v>
      </c>
      <c r="B1" s="858"/>
      <c r="C1" s="858"/>
      <c r="D1" s="858"/>
      <c r="E1" s="858"/>
      <c r="F1" s="858"/>
      <c r="G1" s="858"/>
    </row>
    <row r="2" spans="1:7" x14ac:dyDescent="0.25">
      <c r="A2" s="858" t="s">
        <v>40</v>
      </c>
      <c r="B2" s="858"/>
      <c r="C2" s="858"/>
      <c r="D2" s="858"/>
      <c r="E2" s="858"/>
      <c r="F2" s="858"/>
      <c r="G2" s="858"/>
    </row>
    <row r="3" spans="1:7" x14ac:dyDescent="0.25">
      <c r="A3" s="352"/>
      <c r="B3" s="352"/>
      <c r="C3" s="352"/>
      <c r="D3" s="352"/>
      <c r="E3" s="90"/>
      <c r="F3" s="352"/>
      <c r="G3" s="352"/>
    </row>
    <row r="4" spans="1:7" s="47" customFormat="1" ht="15.75" x14ac:dyDescent="0.25">
      <c r="A4" s="844" t="s">
        <v>312</v>
      </c>
      <c r="B4" s="844"/>
      <c r="C4" s="844"/>
      <c r="D4" s="844"/>
      <c r="E4" s="844"/>
      <c r="F4" s="844"/>
      <c r="G4" s="844"/>
    </row>
    <row r="5" spans="1:7" s="48" customFormat="1" x14ac:dyDescent="0.25">
      <c r="E5" s="91"/>
    </row>
    <row r="6" spans="1:7" s="3" customFormat="1" ht="15" customHeight="1" x14ac:dyDescent="0.25">
      <c r="A6" s="859" t="s">
        <v>0</v>
      </c>
      <c r="B6" s="860" t="s">
        <v>51</v>
      </c>
      <c r="C6" s="859" t="s">
        <v>4</v>
      </c>
      <c r="D6" s="862" t="s">
        <v>48</v>
      </c>
      <c r="E6" s="1058" t="s">
        <v>1</v>
      </c>
      <c r="F6" s="864" t="s">
        <v>59</v>
      </c>
      <c r="G6" s="865"/>
    </row>
    <row r="7" spans="1:7" s="3" customFormat="1" ht="21" customHeight="1" x14ac:dyDescent="0.25">
      <c r="A7" s="859"/>
      <c r="B7" s="861"/>
      <c r="C7" s="859"/>
      <c r="D7" s="863"/>
      <c r="E7" s="1058"/>
      <c r="F7" s="354" t="s">
        <v>48</v>
      </c>
      <c r="G7" s="354" t="s">
        <v>60</v>
      </c>
    </row>
    <row r="8" spans="1:7" s="12" customFormat="1" ht="20.25" customHeight="1" x14ac:dyDescent="0.25">
      <c r="A8" s="10" t="s">
        <v>14</v>
      </c>
      <c r="B8" s="10"/>
      <c r="C8" s="11"/>
      <c r="D8" s="14"/>
      <c r="E8" s="139">
        <f>E10+E12+E14+E16+E18+E20+E24+E43+E45</f>
        <v>18891674</v>
      </c>
      <c r="F8" s="11"/>
      <c r="G8" s="139">
        <f>G10+G12+G14+G16+G18+G20+G24+G43+G45</f>
        <v>41987800</v>
      </c>
    </row>
    <row r="9" spans="1:7" s="8" customFormat="1" ht="5.25" customHeight="1" x14ac:dyDescent="0.25">
      <c r="A9" s="7"/>
      <c r="B9" s="7"/>
      <c r="C9" s="7"/>
      <c r="D9" s="7"/>
      <c r="E9" s="93"/>
      <c r="F9" s="7"/>
      <c r="G9" s="7"/>
    </row>
    <row r="10" spans="1:7" s="3" customFormat="1" ht="108" customHeight="1" x14ac:dyDescent="0.25">
      <c r="A10" s="356" t="s">
        <v>5</v>
      </c>
      <c r="B10" s="353" t="s">
        <v>50</v>
      </c>
      <c r="C10" s="357" t="s">
        <v>21</v>
      </c>
      <c r="D10" s="363">
        <v>2066</v>
      </c>
      <c r="E10" s="364">
        <v>11838100</v>
      </c>
      <c r="F10" s="365">
        <v>2206</v>
      </c>
      <c r="G10" s="366">
        <v>33090000</v>
      </c>
    </row>
    <row r="11" spans="1:7" s="8" customFormat="1" ht="5.25" customHeight="1" x14ac:dyDescent="0.25">
      <c r="A11" s="7"/>
      <c r="B11" s="7"/>
      <c r="C11" s="7"/>
      <c r="D11" s="367"/>
      <c r="E11" s="368"/>
      <c r="F11" s="367"/>
      <c r="G11" s="367"/>
    </row>
    <row r="12" spans="1:7" s="9" customFormat="1" ht="92.25" customHeight="1" x14ac:dyDescent="0.25">
      <c r="A12" s="356" t="s">
        <v>61</v>
      </c>
      <c r="B12" s="353" t="s">
        <v>62</v>
      </c>
      <c r="C12" s="357" t="s">
        <v>21</v>
      </c>
      <c r="D12" s="363">
        <v>138</v>
      </c>
      <c r="E12" s="364">
        <v>799600</v>
      </c>
      <c r="F12" s="365"/>
      <c r="G12" s="366"/>
    </row>
    <row r="13" spans="1:7" s="8" customFormat="1" ht="4.5" customHeight="1" x14ac:dyDescent="0.25">
      <c r="A13" s="7"/>
      <c r="B13" s="7"/>
      <c r="C13" s="7"/>
      <c r="D13" s="367"/>
      <c r="E13" s="368"/>
      <c r="F13" s="367"/>
      <c r="G13" s="367"/>
    </row>
    <row r="14" spans="1:7" s="9" customFormat="1" ht="119.25" customHeight="1" x14ac:dyDescent="0.25">
      <c r="A14" s="356" t="s">
        <v>7</v>
      </c>
      <c r="B14" s="355" t="s">
        <v>52</v>
      </c>
      <c r="C14" s="357" t="s">
        <v>53</v>
      </c>
      <c r="D14" s="363">
        <f>28</f>
        <v>28</v>
      </c>
      <c r="E14" s="364">
        <f>235000</f>
        <v>235000</v>
      </c>
      <c r="F14" s="365">
        <v>50</v>
      </c>
      <c r="G14" s="366">
        <v>300000</v>
      </c>
    </row>
    <row r="15" spans="1:7" s="8" customFormat="1" ht="5.25" customHeight="1" x14ac:dyDescent="0.25">
      <c r="A15" s="7"/>
      <c r="B15" s="7"/>
      <c r="C15" s="7"/>
      <c r="D15" s="367"/>
      <c r="E15" s="368"/>
      <c r="F15" s="367"/>
      <c r="G15" s="367"/>
    </row>
    <row r="16" spans="1:7" s="9" customFormat="1" ht="63" customHeight="1" x14ac:dyDescent="0.25">
      <c r="A16" s="356" t="s">
        <v>6</v>
      </c>
      <c r="B16" s="355" t="s">
        <v>54</v>
      </c>
      <c r="C16" s="356" t="s">
        <v>20</v>
      </c>
      <c r="D16" s="363">
        <v>3087</v>
      </c>
      <c r="E16" s="364">
        <v>4852770</v>
      </c>
      <c r="F16" s="365">
        <v>3705</v>
      </c>
      <c r="G16" s="366">
        <v>5779800</v>
      </c>
    </row>
    <row r="17" spans="1:8" s="8" customFormat="1" ht="5.25" customHeight="1" x14ac:dyDescent="0.25">
      <c r="A17" s="7"/>
      <c r="B17" s="7"/>
      <c r="C17" s="7"/>
      <c r="D17" s="367"/>
      <c r="E17" s="368"/>
      <c r="F17" s="367"/>
      <c r="G17" s="367"/>
    </row>
    <row r="18" spans="1:8" s="9" customFormat="1" ht="74.25" customHeight="1" x14ac:dyDescent="0.25">
      <c r="A18" s="356" t="s">
        <v>16</v>
      </c>
      <c r="B18" s="356" t="s">
        <v>55</v>
      </c>
      <c r="C18" s="356" t="s">
        <v>19</v>
      </c>
      <c r="D18" s="363">
        <v>88</v>
      </c>
      <c r="E18" s="364">
        <v>361000</v>
      </c>
      <c r="F18" s="365">
        <v>248</v>
      </c>
      <c r="G18" s="366">
        <v>1488000</v>
      </c>
    </row>
    <row r="19" spans="1:8" s="8" customFormat="1" ht="5.25" customHeight="1" x14ac:dyDescent="0.25">
      <c r="A19" s="7"/>
      <c r="B19" s="7"/>
      <c r="C19" s="7"/>
      <c r="D19" s="367"/>
      <c r="E19" s="368"/>
      <c r="F19" s="367"/>
      <c r="G19" s="367"/>
    </row>
    <row r="20" spans="1:8" s="9" customFormat="1" ht="65.25" customHeight="1" x14ac:dyDescent="0.25">
      <c r="A20" s="356" t="s">
        <v>17</v>
      </c>
      <c r="B20" s="358" t="s">
        <v>56</v>
      </c>
      <c r="C20" s="356" t="s">
        <v>18</v>
      </c>
      <c r="D20" s="363">
        <f>9+1+1</f>
        <v>11</v>
      </c>
      <c r="E20" s="364">
        <f>3000+9000+1500</f>
        <v>13500</v>
      </c>
      <c r="F20" s="365"/>
      <c r="G20" s="366"/>
    </row>
    <row r="21" spans="1:8" s="1" customFormat="1" ht="15" hidden="1" customHeight="1" x14ac:dyDescent="0.25">
      <c r="A21" s="360"/>
      <c r="B21" s="360"/>
      <c r="C21" s="5"/>
      <c r="D21" s="369"/>
      <c r="E21" s="370"/>
      <c r="F21" s="371"/>
      <c r="G21" s="365" t="s">
        <v>13</v>
      </c>
    </row>
    <row r="22" spans="1:8" s="8" customFormat="1" ht="8.25" hidden="1" customHeight="1" x14ac:dyDescent="0.25">
      <c r="A22" s="7"/>
      <c r="B22" s="7"/>
      <c r="C22" s="7"/>
      <c r="D22" s="367"/>
      <c r="E22" s="368"/>
      <c r="F22" s="367"/>
      <c r="G22" s="367"/>
    </row>
    <row r="23" spans="1:8" s="8" customFormat="1" ht="5.25" customHeight="1" x14ac:dyDescent="0.25">
      <c r="A23" s="7"/>
      <c r="B23" s="7"/>
      <c r="C23" s="7"/>
      <c r="D23" s="367"/>
      <c r="E23" s="368"/>
      <c r="F23" s="367"/>
      <c r="G23" s="367"/>
    </row>
    <row r="24" spans="1:8" s="9" customFormat="1" ht="106.5" customHeight="1" x14ac:dyDescent="0.25">
      <c r="A24" s="356" t="s">
        <v>23</v>
      </c>
      <c r="B24" s="355" t="s">
        <v>58</v>
      </c>
      <c r="C24" s="356" t="s">
        <v>24</v>
      </c>
      <c r="D24" s="363">
        <f>1200</f>
        <v>1200</v>
      </c>
      <c r="E24" s="364">
        <f>401404</f>
        <v>401404</v>
      </c>
      <c r="F24" s="372"/>
      <c r="G24" s="372"/>
      <c r="H24" s="66"/>
    </row>
    <row r="25" spans="1:8" s="8" customFormat="1" ht="8.25" hidden="1" customHeight="1" x14ac:dyDescent="0.25">
      <c r="A25" s="7"/>
      <c r="B25" s="7"/>
      <c r="C25" s="7"/>
      <c r="D25" s="367"/>
      <c r="E25" s="368"/>
      <c r="F25" s="367"/>
      <c r="G25" s="367"/>
    </row>
    <row r="26" spans="1:8" s="9" customFormat="1" ht="30" hidden="1" customHeight="1" x14ac:dyDescent="0.25">
      <c r="A26" s="359" t="s">
        <v>63</v>
      </c>
      <c r="B26" s="831" t="s">
        <v>64</v>
      </c>
      <c r="C26" s="6" t="s">
        <v>65</v>
      </c>
      <c r="D26" s="373" t="e">
        <f>SUM(#REF!)</f>
        <v>#REF!</v>
      </c>
      <c r="E26" s="374" t="e">
        <f>SUM(#REF!)</f>
        <v>#REF!</v>
      </c>
      <c r="F26" s="375" t="e">
        <f>#REF!+#REF!</f>
        <v>#REF!</v>
      </c>
      <c r="G26" s="374" t="e">
        <f>#REF!+#REF!</f>
        <v>#REF!</v>
      </c>
    </row>
    <row r="27" spans="1:8" s="3" customFormat="1" ht="27.75" hidden="1" customHeight="1" x14ac:dyDescent="0.25">
      <c r="A27" s="6"/>
      <c r="B27" s="879"/>
      <c r="C27" s="6"/>
      <c r="D27" s="376">
        <f>SUM(D28:D31)</f>
        <v>0</v>
      </c>
      <c r="E27" s="377">
        <f>SUM(E28:E31)</f>
        <v>0</v>
      </c>
      <c r="F27" s="376">
        <f>SUM(F28:F31)</f>
        <v>0</v>
      </c>
      <c r="G27" s="378">
        <f>SUM(G28:G31)</f>
        <v>0</v>
      </c>
    </row>
    <row r="28" spans="1:8" s="2" customFormat="1" ht="14.25" hidden="1" customHeight="1" x14ac:dyDescent="0.25">
      <c r="A28" s="18"/>
      <c r="B28" s="879"/>
      <c r="C28" s="6"/>
      <c r="D28" s="363"/>
      <c r="E28" s="364"/>
      <c r="F28" s="365"/>
      <c r="G28" s="366"/>
    </row>
    <row r="29" spans="1:8" s="2" customFormat="1" ht="14.25" hidden="1" customHeight="1" x14ac:dyDescent="0.25">
      <c r="A29" s="972"/>
      <c r="B29" s="879"/>
      <c r="C29" s="6"/>
      <c r="D29" s="363"/>
      <c r="E29" s="364"/>
      <c r="F29" s="365"/>
      <c r="G29" s="366"/>
    </row>
    <row r="30" spans="1:8" s="2" customFormat="1" ht="14.25" hidden="1" customHeight="1" x14ac:dyDescent="0.25">
      <c r="A30" s="918"/>
      <c r="B30" s="879"/>
      <c r="C30" s="6"/>
      <c r="D30" s="363"/>
      <c r="E30" s="364"/>
      <c r="F30" s="365"/>
      <c r="G30" s="366"/>
    </row>
    <row r="31" spans="1:8" s="2" customFormat="1" ht="14.25" hidden="1" customHeight="1" x14ac:dyDescent="0.25">
      <c r="A31" s="918"/>
      <c r="B31" s="879"/>
      <c r="C31" s="6"/>
      <c r="D31" s="363"/>
      <c r="E31" s="364"/>
      <c r="F31" s="365"/>
      <c r="G31" s="366"/>
    </row>
    <row r="32" spans="1:8" s="2" customFormat="1" ht="24" hidden="1" customHeight="1" x14ac:dyDescent="0.25">
      <c r="A32" s="360"/>
      <c r="B32" s="879"/>
      <c r="C32" s="6"/>
      <c r="D32" s="376">
        <f>SUM(D33:D41)</f>
        <v>0</v>
      </c>
      <c r="E32" s="377">
        <f>SUM(E33:E41)</f>
        <v>0</v>
      </c>
      <c r="F32" s="376">
        <f>SUM(F33:F41)</f>
        <v>0</v>
      </c>
      <c r="G32" s="378">
        <f>SUM(G33:G41)</f>
        <v>0</v>
      </c>
    </row>
    <row r="33" spans="1:7" s="2" customFormat="1" ht="14.25" hidden="1" customHeight="1" x14ac:dyDescent="0.25">
      <c r="A33" s="360"/>
      <c r="B33" s="879"/>
      <c r="C33" s="6"/>
      <c r="D33" s="363"/>
      <c r="E33" s="364"/>
      <c r="F33" s="365"/>
      <c r="G33" s="366"/>
    </row>
    <row r="34" spans="1:7" s="2" customFormat="1" ht="14.25" hidden="1" customHeight="1" x14ac:dyDescent="0.25">
      <c r="A34" s="360"/>
      <c r="B34" s="879"/>
      <c r="C34" s="6"/>
      <c r="D34" s="363"/>
      <c r="E34" s="364"/>
      <c r="F34" s="365"/>
      <c r="G34" s="366"/>
    </row>
    <row r="35" spans="1:7" s="2" customFormat="1" ht="14.25" hidden="1" customHeight="1" x14ac:dyDescent="0.25">
      <c r="A35" s="360"/>
      <c r="B35" s="879"/>
      <c r="C35" s="6"/>
      <c r="D35" s="363"/>
      <c r="E35" s="364"/>
      <c r="F35" s="365"/>
      <c r="G35" s="366"/>
    </row>
    <row r="36" spans="1:7" s="2" customFormat="1" ht="14.25" hidden="1" customHeight="1" x14ac:dyDescent="0.25">
      <c r="A36" s="360"/>
      <c r="B36" s="879"/>
      <c r="C36" s="6"/>
      <c r="D36" s="363"/>
      <c r="E36" s="364"/>
      <c r="F36" s="365"/>
      <c r="G36" s="366"/>
    </row>
    <row r="37" spans="1:7" s="2" customFormat="1" ht="14.25" hidden="1" customHeight="1" x14ac:dyDescent="0.25">
      <c r="A37" s="360"/>
      <c r="B37" s="879"/>
      <c r="C37" s="6"/>
      <c r="D37" s="363"/>
      <c r="E37" s="364"/>
      <c r="F37" s="365"/>
      <c r="G37" s="366"/>
    </row>
    <row r="38" spans="1:7" s="2" customFormat="1" ht="14.25" hidden="1" customHeight="1" x14ac:dyDescent="0.25">
      <c r="A38" s="360"/>
      <c r="B38" s="879"/>
      <c r="C38" s="6"/>
      <c r="D38" s="363"/>
      <c r="E38" s="364"/>
      <c r="F38" s="365"/>
      <c r="G38" s="366"/>
    </row>
    <row r="39" spans="1:7" s="2" customFormat="1" ht="14.25" hidden="1" customHeight="1" x14ac:dyDescent="0.25">
      <c r="A39" s="360"/>
      <c r="B39" s="879"/>
      <c r="C39" s="6"/>
      <c r="D39" s="363"/>
      <c r="E39" s="364"/>
      <c r="F39" s="365"/>
      <c r="G39" s="366"/>
    </row>
    <row r="40" spans="1:7" s="2" customFormat="1" ht="14.25" hidden="1" customHeight="1" x14ac:dyDescent="0.25">
      <c r="A40" s="360"/>
      <c r="B40" s="879"/>
      <c r="C40" s="6"/>
      <c r="D40" s="363"/>
      <c r="E40" s="364"/>
      <c r="F40" s="365"/>
      <c r="G40" s="366"/>
    </row>
    <row r="41" spans="1:7" s="2" customFormat="1" ht="14.25" hidden="1" customHeight="1" x14ac:dyDescent="0.25">
      <c r="A41" s="360"/>
      <c r="B41" s="879"/>
      <c r="C41" s="6"/>
      <c r="D41" s="363"/>
      <c r="E41" s="364"/>
      <c r="F41" s="365"/>
      <c r="G41" s="366"/>
    </row>
    <row r="42" spans="1:7" s="8" customFormat="1" ht="5.25" customHeight="1" x14ac:dyDescent="0.25">
      <c r="A42" s="7"/>
      <c r="B42" s="7"/>
      <c r="C42" s="7"/>
      <c r="D42" s="367"/>
      <c r="E42" s="368"/>
      <c r="F42" s="367"/>
      <c r="G42" s="367"/>
    </row>
    <row r="43" spans="1:7" s="9" customFormat="1" ht="59.25" customHeight="1" x14ac:dyDescent="0.25">
      <c r="A43" s="356" t="s">
        <v>201</v>
      </c>
      <c r="B43" s="353" t="s">
        <v>202</v>
      </c>
      <c r="C43" s="356" t="s">
        <v>65</v>
      </c>
      <c r="D43" s="363">
        <f>158</f>
        <v>158</v>
      </c>
      <c r="E43" s="364">
        <f>390300</f>
        <v>390300</v>
      </c>
      <c r="F43" s="365"/>
      <c r="G43" s="366"/>
    </row>
    <row r="44" spans="1:7" s="8" customFormat="1" ht="5.25" customHeight="1" x14ac:dyDescent="0.25">
      <c r="A44" s="7"/>
      <c r="B44" s="7"/>
      <c r="C44" s="7"/>
      <c r="D44" s="367"/>
      <c r="E44" s="368"/>
      <c r="F44" s="367"/>
      <c r="G44" s="367"/>
    </row>
    <row r="45" spans="1:7" s="379" customFormat="1" ht="99.75" customHeight="1" x14ac:dyDescent="0.25">
      <c r="A45" s="361" t="s">
        <v>252</v>
      </c>
      <c r="B45" s="362" t="s">
        <v>251</v>
      </c>
      <c r="C45" s="380" t="s">
        <v>313</v>
      </c>
      <c r="D45" s="381" t="s">
        <v>314</v>
      </c>
      <c r="E45" s="382"/>
      <c r="F45" s="381"/>
      <c r="G45" s="284">
        <v>1330000</v>
      </c>
    </row>
    <row r="46" spans="1:7" s="8" customFormat="1" ht="5.25" customHeight="1" x14ac:dyDescent="0.25">
      <c r="A46" s="7"/>
      <c r="B46" s="7"/>
      <c r="C46" s="7"/>
      <c r="D46" s="367"/>
      <c r="E46" s="368"/>
      <c r="F46" s="367"/>
      <c r="G46" s="367"/>
    </row>
    <row r="47" spans="1:7" x14ac:dyDescent="0.25">
      <c r="A47" t="s">
        <v>26</v>
      </c>
      <c r="B47" t="s">
        <v>28</v>
      </c>
      <c r="D47" t="s">
        <v>31</v>
      </c>
      <c r="E47"/>
    </row>
    <row r="48" spans="1:7" x14ac:dyDescent="0.25">
      <c r="E48"/>
    </row>
    <row r="49" spans="1:5" x14ac:dyDescent="0.25">
      <c r="E49"/>
    </row>
    <row r="50" spans="1:5" x14ac:dyDescent="0.25">
      <c r="E50"/>
    </row>
    <row r="51" spans="1:5" x14ac:dyDescent="0.25">
      <c r="A51" t="s">
        <v>27</v>
      </c>
      <c r="B51" t="s">
        <v>29</v>
      </c>
      <c r="D51" t="s">
        <v>32</v>
      </c>
      <c r="E51"/>
    </row>
    <row r="52" spans="1:5" x14ac:dyDescent="0.25">
      <c r="A52" t="s">
        <v>223</v>
      </c>
      <c r="B52" t="s">
        <v>30</v>
      </c>
      <c r="D52" t="s">
        <v>33</v>
      </c>
      <c r="E52"/>
    </row>
  </sheetData>
  <mergeCells count="11">
    <mergeCell ref="B26:B41"/>
    <mergeCell ref="A29:A31"/>
    <mergeCell ref="F6:G6"/>
    <mergeCell ref="A1:G1"/>
    <mergeCell ref="A2:G2"/>
    <mergeCell ref="A4:G4"/>
    <mergeCell ref="A6:A7"/>
    <mergeCell ref="B6:B7"/>
    <mergeCell ref="C6:C7"/>
    <mergeCell ref="D6:D7"/>
    <mergeCell ref="E6:E7"/>
  </mergeCells>
  <printOptions horizontalCentered="1"/>
  <pageMargins left="0.52" right="0.92" top="0.68" bottom="0.69" header="0.3" footer="0.4"/>
  <pageSetup paperSize="9" scale="80" orientation="landscape" verticalDpi="300" r:id="rId1"/>
  <headerFooter>
    <oddFooter>&amp;L1st District of Zambales
&amp;CPage &amp;P of &amp;N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 sqref="A6:F12"/>
    </sheetView>
  </sheetViews>
  <sheetFormatPr defaultRowHeight="15" x14ac:dyDescent="0.25"/>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 sqref="A6:F12"/>
    </sheetView>
  </sheetViews>
  <sheetFormatPr defaultRowHeight="15" x14ac:dyDescent="0.25"/>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1"/>
  <sheetViews>
    <sheetView tabSelected="1" view="pageBreakPreview" topLeftCell="A61" zoomScale="80" zoomScaleNormal="80" zoomScaleSheetLayoutView="80" workbookViewId="0">
      <selection activeCell="I13" sqref="I13:I16"/>
    </sheetView>
  </sheetViews>
  <sheetFormatPr defaultRowHeight="15" x14ac:dyDescent="0.25"/>
  <cols>
    <col min="1" max="1" width="16.7109375" customWidth="1"/>
    <col min="2" max="2" width="13.42578125" customWidth="1"/>
    <col min="3" max="3" width="16" style="97" customWidth="1"/>
    <col min="4" max="4" width="12" style="97" customWidth="1"/>
    <col min="5" max="5" width="16.5703125" style="97" customWidth="1"/>
    <col min="6" max="6" width="9.5703125" customWidth="1"/>
    <col min="7" max="7" width="14.42578125" customWidth="1"/>
    <col min="8" max="8" width="11" customWidth="1"/>
    <col min="9" max="9" width="17.42578125" style="97" customWidth="1"/>
    <col min="10" max="10" width="11.5703125" customWidth="1"/>
    <col min="11" max="11" width="14.5703125" style="97" customWidth="1"/>
    <col min="12" max="12" width="11.42578125" customWidth="1"/>
    <col min="13" max="13" width="17.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416</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s="501" customFormat="1" ht="23.45" x14ac:dyDescent="0.45">
      <c r="A7" s="497"/>
      <c r="B7" s="506"/>
      <c r="C7" s="505"/>
      <c r="D7" s="502"/>
      <c r="E7" s="505"/>
      <c r="F7" s="502"/>
      <c r="G7" s="505"/>
      <c r="H7" s="502"/>
      <c r="I7" s="505"/>
      <c r="J7" s="502"/>
    </row>
    <row r="8" spans="1:13" s="48" customFormat="1" ht="38.25" customHeight="1" x14ac:dyDescent="0.25">
      <c r="A8" s="906" t="s">
        <v>3</v>
      </c>
      <c r="B8" s="913" t="s">
        <v>5</v>
      </c>
      <c r="C8" s="914"/>
      <c r="D8" s="914"/>
      <c r="E8" s="915"/>
      <c r="F8" s="913" t="s">
        <v>7</v>
      </c>
      <c r="G8" s="914"/>
      <c r="H8" s="914"/>
      <c r="I8" s="915"/>
      <c r="J8" s="913" t="s">
        <v>306</v>
      </c>
      <c r="K8" s="914"/>
      <c r="L8" s="914"/>
      <c r="M8" s="915"/>
    </row>
    <row r="9" spans="1:13" ht="28.5" customHeight="1" x14ac:dyDescent="0.25">
      <c r="A9" s="906"/>
      <c r="B9" s="899" t="s">
        <v>327</v>
      </c>
      <c r="C9" s="899"/>
      <c r="D9" s="900" t="s">
        <v>333</v>
      </c>
      <c r="E9" s="901"/>
      <c r="F9" s="899" t="s">
        <v>327</v>
      </c>
      <c r="G9" s="899"/>
      <c r="H9" s="900" t="s">
        <v>333</v>
      </c>
      <c r="I9" s="901"/>
      <c r="J9" s="899" t="s">
        <v>327</v>
      </c>
      <c r="K9" s="899"/>
      <c r="L9" s="900" t="s">
        <v>333</v>
      </c>
      <c r="M9" s="901"/>
    </row>
    <row r="10" spans="1:13" s="343" customFormat="1" ht="45" x14ac:dyDescent="0.25">
      <c r="A10" s="906"/>
      <c r="B10" s="581" t="s">
        <v>307</v>
      </c>
      <c r="C10" s="476" t="s">
        <v>60</v>
      </c>
      <c r="D10" s="581" t="s">
        <v>307</v>
      </c>
      <c r="E10" s="17" t="s">
        <v>305</v>
      </c>
      <c r="F10" s="581" t="s">
        <v>308</v>
      </c>
      <c r="G10" s="582" t="s">
        <v>60</v>
      </c>
      <c r="H10" s="581" t="s">
        <v>308</v>
      </c>
      <c r="I10" s="17" t="s">
        <v>305</v>
      </c>
      <c r="J10" s="581" t="s">
        <v>309</v>
      </c>
      <c r="K10" s="476" t="s">
        <v>60</v>
      </c>
      <c r="L10" s="581" t="s">
        <v>309</v>
      </c>
      <c r="M10" s="17" t="s">
        <v>305</v>
      </c>
    </row>
    <row r="11" spans="1:13" s="615" customFormat="1" ht="14.45" x14ac:dyDescent="0.3">
      <c r="A11" s="610" t="s">
        <v>14</v>
      </c>
      <c r="B11" s="611">
        <f>B12+B17</f>
        <v>19810</v>
      </c>
      <c r="C11" s="612">
        <f>C12+C17</f>
        <v>297150000</v>
      </c>
      <c r="D11" s="611">
        <f t="shared" ref="D11:M11" si="0">D12+D17</f>
        <v>19210</v>
      </c>
      <c r="E11" s="612">
        <f t="shared" si="0"/>
        <v>199368500</v>
      </c>
      <c r="F11" s="611">
        <f t="shared" si="0"/>
        <v>2116</v>
      </c>
      <c r="G11" s="612">
        <f t="shared" si="0"/>
        <v>21160000</v>
      </c>
      <c r="H11" s="611">
        <f t="shared" si="0"/>
        <v>1035</v>
      </c>
      <c r="I11" s="612">
        <f t="shared" si="0"/>
        <v>6279235</v>
      </c>
      <c r="J11" s="611">
        <f t="shared" si="0"/>
        <v>9700</v>
      </c>
      <c r="K11" s="612">
        <f t="shared" si="0"/>
        <v>15132000</v>
      </c>
      <c r="L11" s="611">
        <f t="shared" si="0"/>
        <v>7969</v>
      </c>
      <c r="M11" s="612">
        <f t="shared" si="0"/>
        <v>6662880</v>
      </c>
    </row>
    <row r="12" spans="1:13" x14ac:dyDescent="0.25">
      <c r="A12" s="349" t="s">
        <v>81</v>
      </c>
      <c r="B12" s="477">
        <f t="shared" ref="B12:M12" si="1">SUM(B13:B16)</f>
        <v>6924</v>
      </c>
      <c r="C12" s="351">
        <f t="shared" si="1"/>
        <v>103860000</v>
      </c>
      <c r="D12" s="477">
        <f t="shared" si="1"/>
        <v>6612</v>
      </c>
      <c r="E12" s="351">
        <f t="shared" si="1"/>
        <v>66715900</v>
      </c>
      <c r="F12" s="477">
        <f t="shared" si="1"/>
        <v>786</v>
      </c>
      <c r="G12" s="351">
        <f t="shared" si="1"/>
        <v>7860000</v>
      </c>
      <c r="H12" s="477">
        <f t="shared" si="1"/>
        <v>190</v>
      </c>
      <c r="I12" s="351">
        <f t="shared" si="1"/>
        <v>1491005</v>
      </c>
      <c r="J12" s="477">
        <f t="shared" si="1"/>
        <v>3400</v>
      </c>
      <c r="K12" s="351">
        <f t="shared" si="1"/>
        <v>5304000</v>
      </c>
      <c r="L12" s="508">
        <f t="shared" si="1"/>
        <v>3703</v>
      </c>
      <c r="M12" s="351">
        <f t="shared" si="1"/>
        <v>2489760</v>
      </c>
    </row>
    <row r="13" spans="1:13" ht="14.45" x14ac:dyDescent="0.3">
      <c r="A13" s="83" t="s">
        <v>190</v>
      </c>
      <c r="B13" s="426">
        <f>Zamb_1st!B13</f>
        <v>1044</v>
      </c>
      <c r="C13" s="100">
        <f>Zamb_1st!C13</f>
        <v>15660000</v>
      </c>
      <c r="D13" s="426">
        <f>Zamb_1st!D13</f>
        <v>1044</v>
      </c>
      <c r="E13" s="100">
        <f>Zamb_1st!E13</f>
        <v>10463400</v>
      </c>
      <c r="F13" s="426">
        <f>Zamb_1st!F13</f>
        <v>0</v>
      </c>
      <c r="G13" s="100">
        <f>Zamb_1st!G13</f>
        <v>0</v>
      </c>
      <c r="H13" s="702">
        <f>Zamb_1st!H13</f>
        <v>75</v>
      </c>
      <c r="I13" s="100">
        <f>Zamb_1st!I13</f>
        <v>610395</v>
      </c>
      <c r="J13" s="426">
        <f>Zamb_1st!J13</f>
        <v>0</v>
      </c>
      <c r="K13" s="100">
        <f>Zamb_1st!K13</f>
        <v>0</v>
      </c>
      <c r="L13" s="426">
        <f>Zamb_1st!L13</f>
        <v>0</v>
      </c>
      <c r="M13" s="100">
        <f>Zamb_1st!M13</f>
        <v>0</v>
      </c>
    </row>
    <row r="14" spans="1:13" ht="14.45" x14ac:dyDescent="0.3">
      <c r="A14" s="83" t="s">
        <v>191</v>
      </c>
      <c r="B14" s="426">
        <f>Zamb_1st!B14</f>
        <v>2223</v>
      </c>
      <c r="C14" s="100">
        <f>Zamb_1st!C14</f>
        <v>33345000</v>
      </c>
      <c r="D14" s="426">
        <f>Zamb_1st!D14</f>
        <v>2132</v>
      </c>
      <c r="E14" s="100">
        <f>Zamb_1st!E14</f>
        <v>22642500</v>
      </c>
      <c r="F14" s="426">
        <f>Zamb_1st!F14</f>
        <v>381</v>
      </c>
      <c r="G14" s="100">
        <f>Zamb_1st!G14</f>
        <v>3810000</v>
      </c>
      <c r="H14" s="702">
        <f>Zamb_1st!H14</f>
        <v>56</v>
      </c>
      <c r="I14" s="100">
        <f>Zamb_1st!I14</f>
        <v>353110</v>
      </c>
      <c r="J14" s="426">
        <f>Zamb_1st!J14</f>
        <v>1500</v>
      </c>
      <c r="K14" s="100">
        <f>Zamb_1st!K14</f>
        <v>2340000</v>
      </c>
      <c r="L14" s="426">
        <f>Zamb_1st!L14</f>
        <v>2413</v>
      </c>
      <c r="M14" s="100">
        <f>Zamb_1st!M14</f>
        <v>711360</v>
      </c>
    </row>
    <row r="15" spans="1:13" ht="14.45" x14ac:dyDescent="0.3">
      <c r="A15" s="83" t="s">
        <v>192</v>
      </c>
      <c r="B15" s="426">
        <f>Zamb_1st!B15</f>
        <v>1199</v>
      </c>
      <c r="C15" s="100">
        <f>Zamb_1st!C15</f>
        <v>17985000</v>
      </c>
      <c r="D15" s="426">
        <f>Zamb_1st!D15</f>
        <v>1092</v>
      </c>
      <c r="E15" s="100">
        <f>Zamb_1st!E15</f>
        <v>10232600</v>
      </c>
      <c r="F15" s="426">
        <f>Zamb_1st!F15</f>
        <v>140</v>
      </c>
      <c r="G15" s="100">
        <f>Zamb_1st!G15</f>
        <v>1400000</v>
      </c>
      <c r="H15" s="702">
        <f>Zamb_1st!H15</f>
        <v>0</v>
      </c>
      <c r="I15" s="100">
        <f>Zamb_1st!I15</f>
        <v>0</v>
      </c>
      <c r="J15" s="426">
        <f>Zamb_1st!J15</f>
        <v>600</v>
      </c>
      <c r="K15" s="100">
        <f>Zamb_1st!K15</f>
        <v>936000</v>
      </c>
      <c r="L15" s="426">
        <f>Zamb_1st!L15</f>
        <v>0</v>
      </c>
      <c r="M15" s="100">
        <f>Zamb_1st!M15</f>
        <v>0</v>
      </c>
    </row>
    <row r="16" spans="1:13" ht="14.45" x14ac:dyDescent="0.3">
      <c r="A16" s="83" t="s">
        <v>193</v>
      </c>
      <c r="B16" s="426">
        <f>Zamb_1st!B16</f>
        <v>2458</v>
      </c>
      <c r="C16" s="100">
        <f>Zamb_1st!C16</f>
        <v>36870000</v>
      </c>
      <c r="D16" s="426">
        <f>Zamb_1st!D16</f>
        <v>2344</v>
      </c>
      <c r="E16" s="100">
        <f>Zamb_1st!E16</f>
        <v>23377400</v>
      </c>
      <c r="F16" s="426">
        <f>Zamb_1st!F16</f>
        <v>265</v>
      </c>
      <c r="G16" s="100">
        <f>Zamb_1st!G16</f>
        <v>2650000</v>
      </c>
      <c r="H16" s="702">
        <f>Zamb_1st!H16</f>
        <v>59</v>
      </c>
      <c r="I16" s="100">
        <f>Zamb_1st!I16</f>
        <v>527500</v>
      </c>
      <c r="J16" s="426">
        <f>Zamb_1st!J16</f>
        <v>1300</v>
      </c>
      <c r="K16" s="100">
        <f>Zamb_1st!K16</f>
        <v>2028000</v>
      </c>
      <c r="L16" s="426">
        <f>Zamb_1st!L16</f>
        <v>1290</v>
      </c>
      <c r="M16" s="100">
        <f>Zamb_1st!M16</f>
        <v>1778400</v>
      </c>
    </row>
    <row r="17" spans="1:13" x14ac:dyDescent="0.25">
      <c r="A17" s="349" t="s">
        <v>81</v>
      </c>
      <c r="B17" s="477">
        <f t="shared" ref="B17:M17" si="2">SUM(B18:B27)</f>
        <v>12886</v>
      </c>
      <c r="C17" s="351">
        <f t="shared" si="2"/>
        <v>193290000</v>
      </c>
      <c r="D17" s="477">
        <f t="shared" si="2"/>
        <v>12598</v>
      </c>
      <c r="E17" s="351">
        <f t="shared" si="2"/>
        <v>132652600</v>
      </c>
      <c r="F17" s="477">
        <f t="shared" si="2"/>
        <v>1330</v>
      </c>
      <c r="G17" s="351">
        <f t="shared" si="2"/>
        <v>13300000</v>
      </c>
      <c r="H17" s="477">
        <f t="shared" si="2"/>
        <v>845</v>
      </c>
      <c r="I17" s="351">
        <f t="shared" si="2"/>
        <v>4788230</v>
      </c>
      <c r="J17" s="477">
        <f t="shared" si="2"/>
        <v>6300</v>
      </c>
      <c r="K17" s="351">
        <f t="shared" si="2"/>
        <v>9828000</v>
      </c>
      <c r="L17" s="350">
        <f t="shared" si="2"/>
        <v>4266</v>
      </c>
      <c r="M17" s="351">
        <f t="shared" si="2"/>
        <v>4173120</v>
      </c>
    </row>
    <row r="18" spans="1:13" ht="14.45" x14ac:dyDescent="0.3">
      <c r="A18" s="83" t="s">
        <v>194</v>
      </c>
      <c r="B18" s="426">
        <f>Zamb_2nd!B13</f>
        <v>1862</v>
      </c>
      <c r="C18" s="100">
        <f>Zamb_2nd!C13</f>
        <v>27930000</v>
      </c>
      <c r="D18" s="426">
        <f>Zamb_2nd!D13</f>
        <v>1830</v>
      </c>
      <c r="E18" s="100">
        <f>Zamb_2nd!E13</f>
        <v>18497000</v>
      </c>
      <c r="F18" s="426">
        <f>Zamb_2nd!F13</f>
        <v>0</v>
      </c>
      <c r="G18" s="100">
        <f>Zamb_2nd!G13</f>
        <v>0</v>
      </c>
      <c r="H18" s="426">
        <f>Zamb_2nd!H13</f>
        <v>179</v>
      </c>
      <c r="I18" s="100">
        <f>Zamb_2nd!I13</f>
        <v>1179590</v>
      </c>
      <c r="J18" s="426">
        <f>Zamb_2nd!J13</f>
        <v>1000</v>
      </c>
      <c r="K18" s="100">
        <f>Zamb_2nd!K13</f>
        <v>1560000</v>
      </c>
      <c r="L18" s="426">
        <f>Zamb_2nd!L13</f>
        <v>1300</v>
      </c>
      <c r="M18" s="100">
        <f>Zamb_2nd!M13</f>
        <v>1029600</v>
      </c>
    </row>
    <row r="19" spans="1:13" ht="14.45" x14ac:dyDescent="0.3">
      <c r="A19" s="83" t="s">
        <v>195</v>
      </c>
      <c r="B19" s="426">
        <f>Zamb_2nd!B14</f>
        <v>1142</v>
      </c>
      <c r="C19" s="100">
        <f>Zamb_2nd!C14</f>
        <v>17130000</v>
      </c>
      <c r="D19" s="426">
        <f>Zamb_2nd!D14</f>
        <v>1093</v>
      </c>
      <c r="E19" s="100">
        <f>Zamb_2nd!E14</f>
        <v>11409900</v>
      </c>
      <c r="F19" s="426">
        <f>Zamb_2nd!F14</f>
        <v>0</v>
      </c>
      <c r="G19" s="100">
        <f>Zamb_2nd!G14</f>
        <v>0</v>
      </c>
      <c r="H19" s="426">
        <f>Zamb_2nd!H14</f>
        <v>176</v>
      </c>
      <c r="I19" s="100">
        <f>Zamb_2nd!I14</f>
        <v>1020000</v>
      </c>
      <c r="J19" s="426">
        <f>Zamb_2nd!J14</f>
        <v>600</v>
      </c>
      <c r="K19" s="100">
        <f>Zamb_2nd!K14</f>
        <v>936000</v>
      </c>
      <c r="L19" s="426">
        <f>Zamb_2nd!L14</f>
        <v>0</v>
      </c>
      <c r="M19" s="100">
        <f>Zamb_2nd!M14</f>
        <v>0</v>
      </c>
    </row>
    <row r="20" spans="1:13" ht="14.45" x14ac:dyDescent="0.3">
      <c r="A20" s="83" t="s">
        <v>196</v>
      </c>
      <c r="B20" s="426">
        <f>Zamb_2nd!B15</f>
        <v>970</v>
      </c>
      <c r="C20" s="100">
        <f>Zamb_2nd!C15</f>
        <v>14550000</v>
      </c>
      <c r="D20" s="426">
        <f>Zamb_2nd!D15</f>
        <v>967</v>
      </c>
      <c r="E20" s="100">
        <f>Zamb_2nd!E15</f>
        <v>10537900</v>
      </c>
      <c r="F20" s="426">
        <f>Zamb_2nd!F15</f>
        <v>0</v>
      </c>
      <c r="G20" s="100">
        <f>Zamb_2nd!G15</f>
        <v>0</v>
      </c>
      <c r="H20" s="426">
        <f>Zamb_2nd!H15</f>
        <v>21</v>
      </c>
      <c r="I20" s="100">
        <f>Zamb_2nd!I15</f>
        <v>105000</v>
      </c>
      <c r="J20" s="426">
        <f>Zamb_2nd!J15</f>
        <v>600</v>
      </c>
      <c r="K20" s="100">
        <f>Zamb_2nd!K15</f>
        <v>936000</v>
      </c>
      <c r="L20" s="426">
        <f>Zamb_2nd!L15</f>
        <v>0</v>
      </c>
      <c r="M20" s="100">
        <f>Zamb_2nd!M15</f>
        <v>0</v>
      </c>
    </row>
    <row r="21" spans="1:13" ht="14.45" x14ac:dyDescent="0.3">
      <c r="A21" s="83" t="s">
        <v>11</v>
      </c>
      <c r="B21" s="426">
        <f>Zamb_2nd!B16</f>
        <v>1162</v>
      </c>
      <c r="C21" s="100">
        <f>Zamb_2nd!C16</f>
        <v>17430000</v>
      </c>
      <c r="D21" s="426">
        <f>Zamb_2nd!D16</f>
        <v>1164</v>
      </c>
      <c r="E21" s="100">
        <f>Zamb_2nd!E16</f>
        <v>12463900</v>
      </c>
      <c r="F21" s="426">
        <f>Zamb_2nd!F16</f>
        <v>334</v>
      </c>
      <c r="G21" s="100">
        <f>Zamb_2nd!G16</f>
        <v>3340000</v>
      </c>
      <c r="H21" s="426">
        <f>Zamb_2nd!H16</f>
        <v>41</v>
      </c>
      <c r="I21" s="100">
        <f>Zamb_2nd!I16</f>
        <v>369640</v>
      </c>
      <c r="J21" s="426">
        <f>Zamb_2nd!J16</f>
        <v>800</v>
      </c>
      <c r="K21" s="100">
        <f>Zamb_2nd!K16</f>
        <v>1248000</v>
      </c>
      <c r="L21" s="426">
        <f>Zamb_2nd!L16</f>
        <v>817</v>
      </c>
      <c r="M21" s="100">
        <f>Zamb_2nd!M16</f>
        <v>355680</v>
      </c>
    </row>
    <row r="22" spans="1:13" x14ac:dyDescent="0.25">
      <c r="A22" s="83" t="s">
        <v>12</v>
      </c>
      <c r="B22" s="426">
        <f>Zamb_2nd!B17</f>
        <v>1434</v>
      </c>
      <c r="C22" s="100">
        <f>Zamb_2nd!C17</f>
        <v>21510000</v>
      </c>
      <c r="D22" s="426">
        <f>Zamb_2nd!D17</f>
        <v>1368</v>
      </c>
      <c r="E22" s="100">
        <f>Zamb_2nd!E17</f>
        <v>14163900</v>
      </c>
      <c r="F22" s="426">
        <f>Zamb_2nd!F17</f>
        <v>256</v>
      </c>
      <c r="G22" s="100">
        <f>Zamb_2nd!G17</f>
        <v>2560000</v>
      </c>
      <c r="H22" s="426">
        <f>Zamb_2nd!H17</f>
        <v>96</v>
      </c>
      <c r="I22" s="100">
        <f>Zamb_2nd!I17</f>
        <v>515000</v>
      </c>
      <c r="J22" s="426">
        <f>Zamb_2nd!J17</f>
        <v>700</v>
      </c>
      <c r="K22" s="100">
        <f>Zamb_2nd!K17</f>
        <v>1092000</v>
      </c>
      <c r="L22" s="426">
        <f>Zamb_2nd!L17</f>
        <v>709</v>
      </c>
      <c r="M22" s="100">
        <f>Zamb_2nd!M17</f>
        <v>524160</v>
      </c>
    </row>
    <row r="23" spans="1:13" x14ac:dyDescent="0.25">
      <c r="A23" s="83" t="s">
        <v>197</v>
      </c>
      <c r="B23" s="426">
        <f>Zamb_2nd!B18</f>
        <v>1713</v>
      </c>
      <c r="C23" s="100">
        <f>Zamb_2nd!C18</f>
        <v>25695000</v>
      </c>
      <c r="D23" s="426">
        <f>Zamb_2nd!D18</f>
        <v>1724</v>
      </c>
      <c r="E23" s="100">
        <f>Zamb_2nd!E18</f>
        <v>18833200</v>
      </c>
      <c r="F23" s="426">
        <f>Zamb_2nd!F18</f>
        <v>0</v>
      </c>
      <c r="G23" s="100">
        <f>Zamb_2nd!G18</f>
        <v>0</v>
      </c>
      <c r="H23" s="426">
        <f>Zamb_2nd!H18</f>
        <v>176</v>
      </c>
      <c r="I23" s="100">
        <f>Zamb_2nd!I18</f>
        <v>819000</v>
      </c>
      <c r="J23" s="426">
        <f>Zamb_2nd!J18</f>
        <v>700</v>
      </c>
      <c r="K23" s="100">
        <f>Zamb_2nd!K18</f>
        <v>1092000</v>
      </c>
      <c r="L23" s="426">
        <f>Zamb_2nd!L18</f>
        <v>0</v>
      </c>
      <c r="M23" s="100">
        <f>Zamb_2nd!M18</f>
        <v>0</v>
      </c>
    </row>
    <row r="24" spans="1:13" x14ac:dyDescent="0.25">
      <c r="A24" s="83" t="s">
        <v>147</v>
      </c>
      <c r="B24" s="426">
        <f>Zamb_2nd!B19</f>
        <v>745</v>
      </c>
      <c r="C24" s="100">
        <f>Zamb_2nd!C19</f>
        <v>11175000</v>
      </c>
      <c r="D24" s="426">
        <f>Zamb_2nd!D19</f>
        <v>713</v>
      </c>
      <c r="E24" s="100">
        <f>Zamb_2nd!E19</f>
        <v>7572500</v>
      </c>
      <c r="F24" s="426">
        <f>Zamb_2nd!F19</f>
        <v>440</v>
      </c>
      <c r="G24" s="100">
        <f>Zamb_2nd!G19</f>
        <v>4400000</v>
      </c>
      <c r="H24" s="426">
        <f>Zamb_2nd!H19</f>
        <v>0</v>
      </c>
      <c r="I24" s="100">
        <f>Zamb_2nd!I19</f>
        <v>0</v>
      </c>
      <c r="J24" s="426">
        <f>Zamb_2nd!J19</f>
        <v>500</v>
      </c>
      <c r="K24" s="100">
        <f>Zamb_2nd!K19</f>
        <v>780000</v>
      </c>
      <c r="L24" s="426">
        <f>Zamb_2nd!L19</f>
        <v>0</v>
      </c>
      <c r="M24" s="100">
        <f>Zamb_2nd!M19</f>
        <v>0</v>
      </c>
    </row>
    <row r="25" spans="1:13" x14ac:dyDescent="0.25">
      <c r="A25" s="83" t="s">
        <v>198</v>
      </c>
      <c r="B25" s="426">
        <f>Zamb_2nd!B20</f>
        <v>698</v>
      </c>
      <c r="C25" s="100">
        <f>Zamb_2nd!C20</f>
        <v>10470000</v>
      </c>
      <c r="D25" s="426">
        <f>Zamb_2nd!D20</f>
        <v>654</v>
      </c>
      <c r="E25" s="100">
        <f>Zamb_2nd!E20</f>
        <v>6725700</v>
      </c>
      <c r="F25" s="426">
        <f>Zamb_2nd!F20</f>
        <v>0</v>
      </c>
      <c r="G25" s="100">
        <f>Zamb_2nd!G20</f>
        <v>0</v>
      </c>
      <c r="H25" s="426">
        <f>Zamb_2nd!H20</f>
        <v>52</v>
      </c>
      <c r="I25" s="100">
        <f>Zamb_2nd!I20</f>
        <v>260000</v>
      </c>
      <c r="J25" s="426">
        <f>Zamb_2nd!J20</f>
        <v>0</v>
      </c>
      <c r="K25" s="100">
        <f>Zamb_2nd!K20</f>
        <v>0</v>
      </c>
      <c r="L25" s="426">
        <f>Zamb_2nd!L20</f>
        <v>0</v>
      </c>
      <c r="M25" s="100">
        <f>Zamb_2nd!M20</f>
        <v>0</v>
      </c>
    </row>
    <row r="26" spans="1:13" x14ac:dyDescent="0.25">
      <c r="A26" s="83" t="s">
        <v>199</v>
      </c>
      <c r="B26" s="426">
        <f>Zamb_2nd!B21</f>
        <v>780</v>
      </c>
      <c r="C26" s="100">
        <f>Zamb_2nd!C21</f>
        <v>11700000</v>
      </c>
      <c r="D26" s="426">
        <f>Zamb_2nd!D21</f>
        <v>758</v>
      </c>
      <c r="E26" s="100">
        <f>Zamb_2nd!E21</f>
        <v>7764500</v>
      </c>
      <c r="F26" s="426">
        <f>Zamb_2nd!F21</f>
        <v>0</v>
      </c>
      <c r="G26" s="100">
        <f>Zamb_2nd!G21</f>
        <v>0</v>
      </c>
      <c r="H26" s="426">
        <f>Zamb_2nd!H21</f>
        <v>49</v>
      </c>
      <c r="I26" s="100">
        <f>Zamb_2nd!I21</f>
        <v>245000</v>
      </c>
      <c r="J26" s="426">
        <f>Zamb_2nd!J21</f>
        <v>0</v>
      </c>
      <c r="K26" s="100">
        <f>Zamb_2nd!K21</f>
        <v>0</v>
      </c>
      <c r="L26" s="426">
        <f>Zamb_2nd!L21</f>
        <v>0</v>
      </c>
      <c r="M26" s="100">
        <f>Zamb_2nd!M21</f>
        <v>0</v>
      </c>
    </row>
    <row r="27" spans="1:13" x14ac:dyDescent="0.25">
      <c r="A27" s="83" t="s">
        <v>200</v>
      </c>
      <c r="B27" s="426">
        <f>Zamb_2nd!B22</f>
        <v>2380</v>
      </c>
      <c r="C27" s="100">
        <f>Zamb_2nd!C22</f>
        <v>35700000</v>
      </c>
      <c r="D27" s="426">
        <f>Zamb_2nd!D22</f>
        <v>2327</v>
      </c>
      <c r="E27" s="100">
        <f>Zamb_2nd!E22</f>
        <v>24684100</v>
      </c>
      <c r="F27" s="426">
        <f>Zamb_2nd!F22</f>
        <v>300</v>
      </c>
      <c r="G27" s="100">
        <f>Zamb_2nd!G22</f>
        <v>3000000</v>
      </c>
      <c r="H27" s="426">
        <f>Zamb_2nd!H22</f>
        <v>55</v>
      </c>
      <c r="I27" s="100">
        <f>Zamb_2nd!I22</f>
        <v>275000</v>
      </c>
      <c r="J27" s="426">
        <f>Zamb_2nd!J22</f>
        <v>1400</v>
      </c>
      <c r="K27" s="100">
        <f>Zamb_2nd!K22</f>
        <v>2184000</v>
      </c>
      <c r="L27" s="426">
        <f>Zamb_2nd!L22</f>
        <v>1440</v>
      </c>
      <c r="M27" s="100">
        <f>Zamb_2nd!M22</f>
        <v>2263680</v>
      </c>
    </row>
    <row r="29" spans="1:13" s="48" customFormat="1" ht="28.5" customHeight="1" x14ac:dyDescent="0.25">
      <c r="A29" s="906" t="s">
        <v>3</v>
      </c>
      <c r="B29" s="913" t="s">
        <v>16</v>
      </c>
      <c r="C29" s="914"/>
      <c r="D29" s="914"/>
      <c r="E29" s="915"/>
      <c r="F29" s="913" t="s">
        <v>421</v>
      </c>
      <c r="G29" s="914"/>
      <c r="H29" s="914"/>
      <c r="I29" s="915"/>
      <c r="J29" s="913" t="s">
        <v>329</v>
      </c>
      <c r="K29" s="914"/>
      <c r="L29" s="914"/>
      <c r="M29" s="915"/>
    </row>
    <row r="30" spans="1:13" ht="25.5" customHeight="1" x14ac:dyDescent="0.25">
      <c r="A30" s="906"/>
      <c r="B30" s="899" t="s">
        <v>327</v>
      </c>
      <c r="C30" s="899"/>
      <c r="D30" s="900" t="s">
        <v>333</v>
      </c>
      <c r="E30" s="901"/>
      <c r="F30" s="899" t="s">
        <v>327</v>
      </c>
      <c r="G30" s="899"/>
      <c r="H30" s="900" t="s">
        <v>333</v>
      </c>
      <c r="I30" s="901"/>
      <c r="J30" s="899" t="s">
        <v>327</v>
      </c>
      <c r="K30" s="899"/>
      <c r="L30" s="900" t="s">
        <v>333</v>
      </c>
      <c r="M30" s="901"/>
    </row>
    <row r="31" spans="1:13" ht="45" customHeight="1" x14ac:dyDescent="0.25">
      <c r="A31" s="906"/>
      <c r="B31" s="581" t="s">
        <v>330</v>
      </c>
      <c r="C31" s="476" t="s">
        <v>60</v>
      </c>
      <c r="D31" s="581" t="s">
        <v>330</v>
      </c>
      <c r="E31" s="17" t="s">
        <v>305</v>
      </c>
      <c r="F31" s="581" t="s">
        <v>253</v>
      </c>
      <c r="G31" s="582" t="s">
        <v>60</v>
      </c>
      <c r="H31" s="581" t="s">
        <v>253</v>
      </c>
      <c r="I31" s="476" t="s">
        <v>305</v>
      </c>
      <c r="J31" s="581" t="s">
        <v>310</v>
      </c>
      <c r="K31" s="476" t="s">
        <v>60</v>
      </c>
      <c r="L31" s="581" t="s">
        <v>310</v>
      </c>
      <c r="M31" s="17" t="s">
        <v>305</v>
      </c>
    </row>
    <row r="32" spans="1:13" s="615" customFormat="1" x14ac:dyDescent="0.25">
      <c r="A32" s="610" t="s">
        <v>14</v>
      </c>
      <c r="B32" s="611">
        <f>B33+B38</f>
        <v>4484</v>
      </c>
      <c r="C32" s="612">
        <f>C33+C38</f>
        <v>26904000</v>
      </c>
      <c r="D32" s="611">
        <f t="shared" ref="D32" si="3">D33+D38</f>
        <v>5324</v>
      </c>
      <c r="E32" s="612">
        <f t="shared" ref="E32" si="4">E33+E38</f>
        <v>31944000</v>
      </c>
      <c r="F32" s="611">
        <f t="shared" ref="F32" si="5">F33+F38</f>
        <v>33</v>
      </c>
      <c r="G32" s="612">
        <f t="shared" ref="G32" si="6">G33+G38</f>
        <v>40461360</v>
      </c>
      <c r="H32" s="611">
        <f t="shared" ref="H32" si="7">H33+H38</f>
        <v>0</v>
      </c>
      <c r="I32" s="612">
        <f t="shared" ref="I32" si="8">I33+I38</f>
        <v>0</v>
      </c>
      <c r="J32" s="611">
        <f t="shared" ref="J32" si="9">J33+J38</f>
        <v>0</v>
      </c>
      <c r="K32" s="612">
        <f t="shared" ref="K32" si="10">K33+K38</f>
        <v>0</v>
      </c>
      <c r="L32" s="611">
        <f t="shared" ref="L32" si="11">L33+L38</f>
        <v>3426</v>
      </c>
      <c r="M32" s="612">
        <f t="shared" ref="M32" si="12">M33+M38</f>
        <v>13129589</v>
      </c>
    </row>
    <row r="33" spans="1:13" x14ac:dyDescent="0.25">
      <c r="A33" s="349" t="s">
        <v>81</v>
      </c>
      <c r="B33" s="477">
        <f t="shared" ref="B33:M33" si="13">SUM(B34:B37)</f>
        <v>1296</v>
      </c>
      <c r="C33" s="351">
        <f t="shared" si="13"/>
        <v>7776000</v>
      </c>
      <c r="D33" s="477">
        <f t="shared" si="13"/>
        <v>1377</v>
      </c>
      <c r="E33" s="351">
        <f t="shared" si="13"/>
        <v>8262000</v>
      </c>
      <c r="F33" s="477">
        <f t="shared" si="13"/>
        <v>8</v>
      </c>
      <c r="G33" s="351">
        <f t="shared" si="13"/>
        <v>14560000</v>
      </c>
      <c r="H33" s="477">
        <f t="shared" si="13"/>
        <v>0</v>
      </c>
      <c r="I33" s="351">
        <f t="shared" si="13"/>
        <v>0</v>
      </c>
      <c r="J33" s="477">
        <f t="shared" si="13"/>
        <v>0</v>
      </c>
      <c r="K33" s="351">
        <f t="shared" si="13"/>
        <v>0</v>
      </c>
      <c r="L33" s="350">
        <f t="shared" si="13"/>
        <v>2353</v>
      </c>
      <c r="M33" s="351">
        <f t="shared" si="13"/>
        <v>9526589</v>
      </c>
    </row>
    <row r="34" spans="1:13" x14ac:dyDescent="0.25">
      <c r="A34" s="83" t="s">
        <v>190</v>
      </c>
      <c r="B34" s="30">
        <f>Zamb_1st!B22</f>
        <v>337</v>
      </c>
      <c r="C34" s="624">
        <f>Zamb_1st!C22</f>
        <v>2022000</v>
      </c>
      <c r="D34" s="30">
        <f>Zamb_1st!D22</f>
        <v>349</v>
      </c>
      <c r="E34" s="624">
        <f>Zamb_1st!E22</f>
        <v>2094000</v>
      </c>
      <c r="F34" s="30">
        <f>Zamb_1st!F22</f>
        <v>1</v>
      </c>
      <c r="G34" s="624">
        <f>Zamb_1st!G22</f>
        <v>2240000</v>
      </c>
      <c r="H34" s="30">
        <f>Zamb_1st!H22</f>
        <v>0</v>
      </c>
      <c r="I34" s="624">
        <f>Zamb_1st!I22</f>
        <v>0</v>
      </c>
      <c r="J34" s="30">
        <f>Zamb_1st!J22</f>
        <v>0</v>
      </c>
      <c r="K34" s="624">
        <f>Zamb_1st!K22</f>
        <v>0</v>
      </c>
      <c r="L34" s="30">
        <f>Zamb_1st!L22</f>
        <v>212</v>
      </c>
      <c r="M34" s="624">
        <f>Zamb_1st!M22</f>
        <v>821724</v>
      </c>
    </row>
    <row r="35" spans="1:13" x14ac:dyDescent="0.25">
      <c r="A35" s="83" t="s">
        <v>191</v>
      </c>
      <c r="B35" s="30">
        <f>Zamb_1st!B23</f>
        <v>343</v>
      </c>
      <c r="C35" s="624">
        <f>Zamb_1st!C23</f>
        <v>2058000</v>
      </c>
      <c r="D35" s="30">
        <f>Zamb_1st!D23</f>
        <v>340</v>
      </c>
      <c r="E35" s="624">
        <f>Zamb_1st!E23</f>
        <v>2040000</v>
      </c>
      <c r="F35" s="30">
        <f>Zamb_1st!F23</f>
        <v>3</v>
      </c>
      <c r="G35" s="624">
        <f>Zamb_1st!G23</f>
        <v>3870000</v>
      </c>
      <c r="H35" s="30">
        <f>Zamb_1st!H23</f>
        <v>0</v>
      </c>
      <c r="I35" s="624">
        <f>Zamb_1st!I23</f>
        <v>0</v>
      </c>
      <c r="J35" s="30">
        <f>Zamb_1st!J23</f>
        <v>0</v>
      </c>
      <c r="K35" s="624">
        <f>Zamb_1st!K23</f>
        <v>0</v>
      </c>
      <c r="L35" s="30">
        <f>Zamb_1st!L23</f>
        <v>1667</v>
      </c>
      <c r="M35" s="624">
        <f>Zamb_1st!M23</f>
        <v>6774172</v>
      </c>
    </row>
    <row r="36" spans="1:13" x14ac:dyDescent="0.25">
      <c r="A36" s="83" t="s">
        <v>192</v>
      </c>
      <c r="B36" s="30">
        <f>Zamb_1st!B24</f>
        <v>326</v>
      </c>
      <c r="C36" s="624">
        <f>Zamb_1st!C24</f>
        <v>1956000</v>
      </c>
      <c r="D36" s="30">
        <f>Zamb_1st!D24</f>
        <v>304</v>
      </c>
      <c r="E36" s="624">
        <f>Zamb_1st!E24</f>
        <v>1824000</v>
      </c>
      <c r="F36" s="30">
        <f>Zamb_1st!F24</f>
        <v>2</v>
      </c>
      <c r="G36" s="624">
        <f>Zamb_1st!G24</f>
        <v>3300000</v>
      </c>
      <c r="H36" s="30">
        <f>Zamb_1st!H24</f>
        <v>0</v>
      </c>
      <c r="I36" s="624">
        <f>Zamb_1st!I24</f>
        <v>0</v>
      </c>
      <c r="J36" s="30">
        <f>Zamb_1st!J24</f>
        <v>0</v>
      </c>
      <c r="K36" s="624">
        <f>Zamb_1st!K24</f>
        <v>0</v>
      </c>
      <c r="L36" s="30">
        <f>Zamb_1st!L24</f>
        <v>115</v>
      </c>
      <c r="M36" s="624">
        <f>Zamb_1st!M24</f>
        <v>440928</v>
      </c>
    </row>
    <row r="37" spans="1:13" x14ac:dyDescent="0.25">
      <c r="A37" s="83" t="s">
        <v>193</v>
      </c>
      <c r="B37" s="30">
        <f>Zamb_1st!B25</f>
        <v>290</v>
      </c>
      <c r="C37" s="624">
        <f>Zamb_1st!C25</f>
        <v>1740000</v>
      </c>
      <c r="D37" s="30">
        <f>Zamb_1st!D25</f>
        <v>384</v>
      </c>
      <c r="E37" s="624">
        <f>Zamb_1st!E25</f>
        <v>2304000</v>
      </c>
      <c r="F37" s="30">
        <f>Zamb_1st!F25</f>
        <v>2</v>
      </c>
      <c r="G37" s="624">
        <f>Zamb_1st!G25</f>
        <v>5150000</v>
      </c>
      <c r="H37" s="30">
        <f>Zamb_1st!H25</f>
        <v>0</v>
      </c>
      <c r="I37" s="624">
        <f>Zamb_1st!I25</f>
        <v>0</v>
      </c>
      <c r="J37" s="30">
        <f>Zamb_1st!J25</f>
        <v>0</v>
      </c>
      <c r="K37" s="624">
        <f>Zamb_1st!K25</f>
        <v>0</v>
      </c>
      <c r="L37" s="30">
        <f>Zamb_1st!L25</f>
        <v>359</v>
      </c>
      <c r="M37" s="624">
        <f>Zamb_1st!M25</f>
        <v>1489765</v>
      </c>
    </row>
    <row r="38" spans="1:13" x14ac:dyDescent="0.25">
      <c r="A38" s="349" t="s">
        <v>81</v>
      </c>
      <c r="B38" s="477">
        <f t="shared" ref="B38:M38" si="14">SUM(B39:B48)</f>
        <v>3188</v>
      </c>
      <c r="C38" s="351">
        <f t="shared" si="14"/>
        <v>19128000</v>
      </c>
      <c r="D38" s="477">
        <f t="shared" si="14"/>
        <v>3947</v>
      </c>
      <c r="E38" s="351">
        <f t="shared" si="14"/>
        <v>23682000</v>
      </c>
      <c r="F38" s="477">
        <f t="shared" si="14"/>
        <v>25</v>
      </c>
      <c r="G38" s="351">
        <f t="shared" si="14"/>
        <v>25901360</v>
      </c>
      <c r="H38" s="477">
        <f t="shared" si="14"/>
        <v>0</v>
      </c>
      <c r="I38" s="351">
        <f t="shared" si="14"/>
        <v>0</v>
      </c>
      <c r="J38" s="477">
        <f t="shared" si="14"/>
        <v>0</v>
      </c>
      <c r="K38" s="351">
        <f t="shared" si="14"/>
        <v>0</v>
      </c>
      <c r="L38" s="350">
        <f t="shared" si="14"/>
        <v>1073</v>
      </c>
      <c r="M38" s="351">
        <f t="shared" si="14"/>
        <v>3603000</v>
      </c>
    </row>
    <row r="39" spans="1:13" x14ac:dyDescent="0.25">
      <c r="A39" s="83" t="s">
        <v>194</v>
      </c>
      <c r="B39" s="30">
        <f>Zamb_2nd!B28</f>
        <v>318</v>
      </c>
      <c r="C39" s="624">
        <f>Zamb_2nd!C28</f>
        <v>1908000</v>
      </c>
      <c r="D39" s="30">
        <f>Zamb_2nd!D28</f>
        <v>504</v>
      </c>
      <c r="E39" s="624">
        <f>Zamb_2nd!E28</f>
        <v>3024000</v>
      </c>
      <c r="F39" s="30">
        <f>Zamb_2nd!F28</f>
        <v>1</v>
      </c>
      <c r="G39" s="624">
        <f>Zamb_2nd!G28</f>
        <v>2600000</v>
      </c>
      <c r="H39" s="30">
        <f>Zamb_2nd!H28</f>
        <v>0</v>
      </c>
      <c r="I39" s="624">
        <f>Zamb_2nd!I28</f>
        <v>0</v>
      </c>
      <c r="J39" s="30">
        <f>Zamb_2nd!J28</f>
        <v>0</v>
      </c>
      <c r="K39" s="624">
        <f>Zamb_2nd!K28</f>
        <v>0</v>
      </c>
      <c r="L39" s="30">
        <f>Zamb_2nd!L28</f>
        <v>218</v>
      </c>
      <c r="M39" s="624">
        <f>Zamb_2nd!M28</f>
        <v>746500</v>
      </c>
    </row>
    <row r="40" spans="1:13" x14ac:dyDescent="0.25">
      <c r="A40" s="83" t="s">
        <v>195</v>
      </c>
      <c r="B40" s="30">
        <f>Zamb_2nd!B29</f>
        <v>330</v>
      </c>
      <c r="C40" s="624">
        <f>Zamb_2nd!C29</f>
        <v>1980000</v>
      </c>
      <c r="D40" s="30">
        <f>Zamb_2nd!D29</f>
        <v>244</v>
      </c>
      <c r="E40" s="624">
        <f>Zamb_2nd!E29</f>
        <v>1464000</v>
      </c>
      <c r="F40" s="30">
        <f>Zamb_2nd!F29</f>
        <v>2</v>
      </c>
      <c r="G40" s="624">
        <f>Zamb_2nd!G29</f>
        <v>1870000</v>
      </c>
      <c r="H40" s="30">
        <f>Zamb_2nd!H29</f>
        <v>0</v>
      </c>
      <c r="I40" s="624">
        <f>Zamb_2nd!I29</f>
        <v>0</v>
      </c>
      <c r="J40" s="30">
        <f>Zamb_2nd!J29</f>
        <v>0</v>
      </c>
      <c r="K40" s="624">
        <f>Zamb_2nd!K29</f>
        <v>0</v>
      </c>
      <c r="L40" s="30">
        <f>Zamb_2nd!L29</f>
        <v>146</v>
      </c>
      <c r="M40" s="624">
        <f>Zamb_2nd!M29</f>
        <v>483000</v>
      </c>
    </row>
    <row r="41" spans="1:13" x14ac:dyDescent="0.25">
      <c r="A41" s="83" t="s">
        <v>196</v>
      </c>
      <c r="B41" s="30">
        <f>Zamb_2nd!B30</f>
        <v>302</v>
      </c>
      <c r="C41" s="624">
        <f>Zamb_2nd!C30</f>
        <v>1812000</v>
      </c>
      <c r="D41" s="30">
        <f>Zamb_2nd!D30</f>
        <v>490</v>
      </c>
      <c r="E41" s="624">
        <f>Zamb_2nd!E30</f>
        <v>2940000</v>
      </c>
      <c r="F41" s="30">
        <f>Zamb_2nd!F30</f>
        <v>5</v>
      </c>
      <c r="G41" s="624">
        <f>Zamb_2nd!G30</f>
        <v>3511360</v>
      </c>
      <c r="H41" s="30">
        <f>Zamb_2nd!H30</f>
        <v>0</v>
      </c>
      <c r="I41" s="624">
        <f>Zamb_2nd!I30</f>
        <v>0</v>
      </c>
      <c r="J41" s="30">
        <f>Zamb_2nd!J30</f>
        <v>0</v>
      </c>
      <c r="K41" s="624">
        <f>Zamb_2nd!K30</f>
        <v>0</v>
      </c>
      <c r="L41" s="30">
        <f>Zamb_2nd!L30</f>
        <v>23</v>
      </c>
      <c r="M41" s="624">
        <f>Zamb_2nd!M30</f>
        <v>84500</v>
      </c>
    </row>
    <row r="42" spans="1:13" x14ac:dyDescent="0.25">
      <c r="A42" s="83" t="s">
        <v>11</v>
      </c>
      <c r="B42" s="30">
        <f>Zamb_2nd!B31</f>
        <v>297</v>
      </c>
      <c r="C42" s="624">
        <f>Zamb_2nd!C31</f>
        <v>1782000</v>
      </c>
      <c r="D42" s="30">
        <f>Zamb_2nd!D31</f>
        <v>306</v>
      </c>
      <c r="E42" s="624">
        <f>Zamb_2nd!E31</f>
        <v>1836000</v>
      </c>
      <c r="F42" s="30">
        <f>Zamb_2nd!F31</f>
        <v>2</v>
      </c>
      <c r="G42" s="624">
        <f>Zamb_2nd!G31</f>
        <v>4200000</v>
      </c>
      <c r="H42" s="30">
        <f>Zamb_2nd!H31</f>
        <v>0</v>
      </c>
      <c r="I42" s="624">
        <f>Zamb_2nd!I31</f>
        <v>0</v>
      </c>
      <c r="J42" s="30">
        <f>Zamb_2nd!J31</f>
        <v>0</v>
      </c>
      <c r="K42" s="624">
        <f>Zamb_2nd!K31</f>
        <v>0</v>
      </c>
      <c r="L42" s="30">
        <f>Zamb_2nd!L31</f>
        <v>191</v>
      </c>
      <c r="M42" s="624">
        <f>Zamb_2nd!M31</f>
        <v>627500</v>
      </c>
    </row>
    <row r="43" spans="1:13" x14ac:dyDescent="0.25">
      <c r="A43" s="83" t="s">
        <v>12</v>
      </c>
      <c r="B43" s="30">
        <f>Zamb_2nd!B32</f>
        <v>279</v>
      </c>
      <c r="C43" s="624">
        <f>Zamb_2nd!C32</f>
        <v>1674000</v>
      </c>
      <c r="D43" s="30">
        <f>Zamb_2nd!D32</f>
        <v>273</v>
      </c>
      <c r="E43" s="624">
        <f>Zamb_2nd!E32</f>
        <v>1638000</v>
      </c>
      <c r="F43" s="30">
        <f>Zamb_2nd!F32</f>
        <v>2</v>
      </c>
      <c r="G43" s="624">
        <f>Zamb_2nd!G32</f>
        <v>1650000</v>
      </c>
      <c r="H43" s="30">
        <f>Zamb_2nd!H32</f>
        <v>0</v>
      </c>
      <c r="I43" s="624">
        <f>Zamb_2nd!I32</f>
        <v>0</v>
      </c>
      <c r="J43" s="30">
        <f>Zamb_2nd!J32</f>
        <v>0</v>
      </c>
      <c r="K43" s="624">
        <f>Zamb_2nd!K32</f>
        <v>0</v>
      </c>
      <c r="L43" s="30">
        <f>Zamb_2nd!L32</f>
        <v>34</v>
      </c>
      <c r="M43" s="624">
        <f>Zamb_2nd!M32</f>
        <v>132500</v>
      </c>
    </row>
    <row r="44" spans="1:13" x14ac:dyDescent="0.25">
      <c r="A44" s="83" t="s">
        <v>197</v>
      </c>
      <c r="B44" s="30">
        <f>Zamb_2nd!B33</f>
        <v>298</v>
      </c>
      <c r="C44" s="624">
        <f>Zamb_2nd!C33</f>
        <v>1788000</v>
      </c>
      <c r="D44" s="30">
        <f>Zamb_2nd!D33</f>
        <v>497</v>
      </c>
      <c r="E44" s="624">
        <f>Zamb_2nd!E33</f>
        <v>2982000</v>
      </c>
      <c r="F44" s="30">
        <f>Zamb_2nd!F33</f>
        <v>3</v>
      </c>
      <c r="G44" s="624">
        <f>Zamb_2nd!G33</f>
        <v>4200000</v>
      </c>
      <c r="H44" s="30">
        <f>Zamb_2nd!H33</f>
        <v>0</v>
      </c>
      <c r="I44" s="624">
        <f>Zamb_2nd!I33</f>
        <v>0</v>
      </c>
      <c r="J44" s="30">
        <f>Zamb_2nd!J33</f>
        <v>0</v>
      </c>
      <c r="K44" s="624">
        <f>Zamb_2nd!K33</f>
        <v>0</v>
      </c>
      <c r="L44" s="30">
        <f>Zamb_2nd!L33</f>
        <v>53</v>
      </c>
      <c r="M44" s="624">
        <f>Zamb_2nd!M33</f>
        <v>159000</v>
      </c>
    </row>
    <row r="45" spans="1:13" x14ac:dyDescent="0.25">
      <c r="A45" s="83" t="s">
        <v>147</v>
      </c>
      <c r="B45" s="30">
        <f>Zamb_2nd!B34</f>
        <v>363</v>
      </c>
      <c r="C45" s="624">
        <f>Zamb_2nd!C34</f>
        <v>2178000</v>
      </c>
      <c r="D45" s="30">
        <f>Zamb_2nd!D34</f>
        <v>467</v>
      </c>
      <c r="E45" s="624">
        <f>Zamb_2nd!E34</f>
        <v>2802000</v>
      </c>
      <c r="F45" s="30">
        <f>Zamb_2nd!F34</f>
        <v>4</v>
      </c>
      <c r="G45" s="624">
        <f>Zamb_2nd!G34</f>
        <v>2559000</v>
      </c>
      <c r="H45" s="30">
        <f>Zamb_2nd!H34</f>
        <v>0</v>
      </c>
      <c r="I45" s="624">
        <f>Zamb_2nd!I34</f>
        <v>0</v>
      </c>
      <c r="J45" s="30">
        <f>Zamb_2nd!J34</f>
        <v>0</v>
      </c>
      <c r="K45" s="624">
        <f>Zamb_2nd!K34</f>
        <v>0</v>
      </c>
      <c r="L45" s="30">
        <f>Zamb_2nd!L34</f>
        <v>107</v>
      </c>
      <c r="M45" s="624">
        <f>Zamb_2nd!M34</f>
        <v>353000</v>
      </c>
    </row>
    <row r="46" spans="1:13" x14ac:dyDescent="0.25">
      <c r="A46" s="83" t="s">
        <v>198</v>
      </c>
      <c r="B46" s="30">
        <f>Zamb_2nd!B35</f>
        <v>325</v>
      </c>
      <c r="C46" s="624">
        <f>Zamb_2nd!C35</f>
        <v>1950000</v>
      </c>
      <c r="D46" s="30">
        <f>Zamb_2nd!D35</f>
        <v>238</v>
      </c>
      <c r="E46" s="624">
        <f>Zamb_2nd!E35</f>
        <v>1428000</v>
      </c>
      <c r="F46" s="30">
        <f>Zamb_2nd!F35</f>
        <v>3</v>
      </c>
      <c r="G46" s="624">
        <f>Zamb_2nd!G35</f>
        <v>2811000</v>
      </c>
      <c r="H46" s="30">
        <f>Zamb_2nd!H35</f>
        <v>0</v>
      </c>
      <c r="I46" s="624">
        <f>Zamb_2nd!I35</f>
        <v>0</v>
      </c>
      <c r="J46" s="30">
        <f>Zamb_2nd!J35</f>
        <v>0</v>
      </c>
      <c r="K46" s="624">
        <f>Zamb_2nd!K35</f>
        <v>0</v>
      </c>
      <c r="L46" s="30">
        <f>Zamb_2nd!L35</f>
        <v>89</v>
      </c>
      <c r="M46" s="624">
        <f>Zamb_2nd!M35</f>
        <v>298000</v>
      </c>
    </row>
    <row r="47" spans="1:13" x14ac:dyDescent="0.25">
      <c r="A47" s="83" t="s">
        <v>199</v>
      </c>
      <c r="B47" s="30">
        <f>Zamb_2nd!B36</f>
        <v>309</v>
      </c>
      <c r="C47" s="624">
        <f>Zamb_2nd!C36</f>
        <v>1854000</v>
      </c>
      <c r="D47" s="30">
        <f>Zamb_2nd!D36</f>
        <v>407</v>
      </c>
      <c r="E47" s="624">
        <f>Zamb_2nd!E36</f>
        <v>2442000</v>
      </c>
      <c r="F47" s="30">
        <f>Zamb_2nd!F36</f>
        <v>3</v>
      </c>
      <c r="G47" s="624">
        <f>Zamb_2nd!G36</f>
        <v>2500000</v>
      </c>
      <c r="H47" s="30">
        <f>Zamb_2nd!H36</f>
        <v>0</v>
      </c>
      <c r="I47" s="624">
        <f>Zamb_2nd!I36</f>
        <v>0</v>
      </c>
      <c r="J47" s="30">
        <f>Zamb_2nd!J36</f>
        <v>0</v>
      </c>
      <c r="K47" s="624">
        <f>Zamb_2nd!K36</f>
        <v>0</v>
      </c>
      <c r="L47" s="30">
        <f>Zamb_2nd!L36</f>
        <v>167</v>
      </c>
      <c r="M47" s="624">
        <f>Zamb_2nd!M36</f>
        <v>552000</v>
      </c>
    </row>
    <row r="48" spans="1:13" x14ac:dyDescent="0.25">
      <c r="A48" s="83" t="s">
        <v>200</v>
      </c>
      <c r="B48" s="30">
        <f>Zamb_2nd!B37</f>
        <v>367</v>
      </c>
      <c r="C48" s="624">
        <f>Zamb_2nd!C37</f>
        <v>2202000</v>
      </c>
      <c r="D48" s="30">
        <f>Zamb_2nd!D37</f>
        <v>521</v>
      </c>
      <c r="E48" s="624">
        <f>Zamb_2nd!E37</f>
        <v>3126000</v>
      </c>
      <c r="F48" s="30">
        <f>Zamb_2nd!F37</f>
        <v>0</v>
      </c>
      <c r="G48" s="624">
        <f>Zamb_2nd!G37</f>
        <v>0</v>
      </c>
      <c r="H48" s="30">
        <f>Zamb_2nd!H37</f>
        <v>0</v>
      </c>
      <c r="I48" s="624">
        <f>Zamb_2nd!I37</f>
        <v>0</v>
      </c>
      <c r="J48" s="30">
        <f>Zamb_2nd!J37</f>
        <v>0</v>
      </c>
      <c r="K48" s="624">
        <f>Zamb_2nd!K37</f>
        <v>0</v>
      </c>
      <c r="L48" s="30">
        <f>Zamb_2nd!L37</f>
        <v>45</v>
      </c>
      <c r="M48" s="624">
        <f>Zamb_2nd!M37</f>
        <v>167000</v>
      </c>
    </row>
    <row r="50" spans="1:13" s="48" customFormat="1" ht="36" customHeight="1" x14ac:dyDescent="0.25">
      <c r="A50" s="906" t="s">
        <v>3</v>
      </c>
      <c r="B50" s="913" t="s">
        <v>331</v>
      </c>
      <c r="C50" s="914"/>
      <c r="D50" s="914"/>
      <c r="E50" s="915"/>
      <c r="F50" s="913" t="s">
        <v>375</v>
      </c>
      <c r="G50" s="914"/>
      <c r="H50" s="914"/>
      <c r="I50" s="915"/>
      <c r="J50" s="913" t="s">
        <v>391</v>
      </c>
      <c r="K50" s="914"/>
      <c r="L50" s="914"/>
      <c r="M50" s="915"/>
    </row>
    <row r="51" spans="1:13" ht="17.25" customHeight="1" x14ac:dyDescent="0.25">
      <c r="A51" s="906"/>
      <c r="B51" s="899" t="s">
        <v>327</v>
      </c>
      <c r="C51" s="899"/>
      <c r="D51" s="900" t="s">
        <v>333</v>
      </c>
      <c r="E51" s="901"/>
      <c r="F51" s="899" t="s">
        <v>327</v>
      </c>
      <c r="G51" s="899"/>
      <c r="H51" s="900" t="s">
        <v>333</v>
      </c>
      <c r="I51" s="901"/>
      <c r="J51" s="899" t="s">
        <v>327</v>
      </c>
      <c r="K51" s="899"/>
      <c r="L51" s="900" t="s">
        <v>333</v>
      </c>
      <c r="M51" s="901"/>
    </row>
    <row r="52" spans="1:13" ht="45" customHeight="1" x14ac:dyDescent="0.25">
      <c r="A52" s="906"/>
      <c r="B52" s="581" t="s">
        <v>308</v>
      </c>
      <c r="C52" s="476" t="s">
        <v>60</v>
      </c>
      <c r="D52" s="581" t="s">
        <v>332</v>
      </c>
      <c r="E52" s="17" t="s">
        <v>305</v>
      </c>
      <c r="F52" s="581" t="s">
        <v>308</v>
      </c>
      <c r="G52" s="582" t="s">
        <v>60</v>
      </c>
      <c r="H52" s="581" t="s">
        <v>308</v>
      </c>
      <c r="I52" s="17" t="s">
        <v>305</v>
      </c>
      <c r="J52" s="581" t="s">
        <v>308</v>
      </c>
      <c r="K52" s="582" t="s">
        <v>60</v>
      </c>
      <c r="L52" s="581" t="s">
        <v>308</v>
      </c>
      <c r="M52" s="17" t="s">
        <v>305</v>
      </c>
    </row>
    <row r="53" spans="1:13" s="615" customFormat="1" x14ac:dyDescent="0.25">
      <c r="A53" s="610" t="s">
        <v>14</v>
      </c>
      <c r="B53" s="611">
        <f>B54+B59</f>
        <v>0</v>
      </c>
      <c r="C53" s="612">
        <f>C54+C59</f>
        <v>0</v>
      </c>
      <c r="D53" s="611">
        <f t="shared" ref="D53" si="15">D54+D59</f>
        <v>0</v>
      </c>
      <c r="E53" s="612">
        <f t="shared" ref="E53" si="16">E54+E59</f>
        <v>0</v>
      </c>
      <c r="F53" s="611">
        <f t="shared" ref="F53" si="17">F54+F59</f>
        <v>0</v>
      </c>
      <c r="G53" s="612">
        <f t="shared" ref="G53" si="18">G54+G59</f>
        <v>0</v>
      </c>
      <c r="H53" s="611">
        <f t="shared" ref="H53" si="19">H54+H59</f>
        <v>0</v>
      </c>
      <c r="I53" s="612">
        <f t="shared" ref="I53" si="20">I54+I59</f>
        <v>0</v>
      </c>
      <c r="J53" s="611">
        <f t="shared" ref="J53" si="21">J54+J59</f>
        <v>0</v>
      </c>
      <c r="K53" s="612">
        <f t="shared" ref="K53" si="22">K54+K59</f>
        <v>0</v>
      </c>
      <c r="L53" s="611">
        <f t="shared" ref="L53" si="23">L54+L59</f>
        <v>0</v>
      </c>
      <c r="M53" s="612">
        <f t="shared" ref="M53" si="24">M54+M59</f>
        <v>0</v>
      </c>
    </row>
    <row r="54" spans="1:13" x14ac:dyDescent="0.25">
      <c r="A54" s="349" t="s">
        <v>81</v>
      </c>
      <c r="B54" s="477">
        <f t="shared" ref="B54:I54" si="25">SUM(B55:B58)</f>
        <v>0</v>
      </c>
      <c r="C54" s="351">
        <f t="shared" si="25"/>
        <v>0</v>
      </c>
      <c r="D54" s="477">
        <f t="shared" si="25"/>
        <v>0</v>
      </c>
      <c r="E54" s="351">
        <f t="shared" si="25"/>
        <v>0</v>
      </c>
      <c r="F54" s="477">
        <f t="shared" si="25"/>
        <v>0</v>
      </c>
      <c r="G54" s="351">
        <f t="shared" si="25"/>
        <v>0</v>
      </c>
      <c r="H54" s="477">
        <f t="shared" si="25"/>
        <v>0</v>
      </c>
      <c r="I54" s="351">
        <f t="shared" si="25"/>
        <v>0</v>
      </c>
      <c r="J54" s="477">
        <f t="shared" ref="J54:M54" si="26">SUM(J55:J58)</f>
        <v>0</v>
      </c>
      <c r="K54" s="351">
        <f t="shared" si="26"/>
        <v>0</v>
      </c>
      <c r="L54" s="477">
        <f t="shared" si="26"/>
        <v>0</v>
      </c>
      <c r="M54" s="351">
        <f t="shared" si="26"/>
        <v>0</v>
      </c>
    </row>
    <row r="55" spans="1:13" x14ac:dyDescent="0.25">
      <c r="A55" s="83" t="s">
        <v>190</v>
      </c>
      <c r="B55" s="581"/>
      <c r="C55" s="17"/>
      <c r="D55" s="20">
        <f>Zamb_1st!D31</f>
        <v>0</v>
      </c>
      <c r="E55" s="627">
        <f>Zamb_1st!E31</f>
        <v>0</v>
      </c>
      <c r="F55" s="581"/>
      <c r="G55" s="17"/>
      <c r="H55" s="20">
        <f>Zamb_1st!H31</f>
        <v>0</v>
      </c>
      <c r="I55" s="627">
        <f>Zamb_1st!I31</f>
        <v>0</v>
      </c>
      <c r="J55" s="581"/>
      <c r="K55" s="17"/>
      <c r="L55" s="581"/>
      <c r="M55" s="17"/>
    </row>
    <row r="56" spans="1:13" x14ac:dyDescent="0.25">
      <c r="A56" s="83" t="s">
        <v>191</v>
      </c>
      <c r="B56" s="581"/>
      <c r="C56" s="17"/>
      <c r="D56" s="20">
        <f>Zamb_1st!D32</f>
        <v>0</v>
      </c>
      <c r="E56" s="627">
        <f>Zamb_1st!E32</f>
        <v>0</v>
      </c>
      <c r="F56" s="581"/>
      <c r="G56" s="17"/>
      <c r="H56" s="20">
        <f>Zamb_1st!H32</f>
        <v>0</v>
      </c>
      <c r="I56" s="627">
        <f>Zamb_1st!I32</f>
        <v>0</v>
      </c>
      <c r="J56" s="581"/>
      <c r="K56" s="17"/>
      <c r="L56" s="581"/>
      <c r="M56" s="17"/>
    </row>
    <row r="57" spans="1:13" x14ac:dyDescent="0.25">
      <c r="A57" s="83" t="s">
        <v>192</v>
      </c>
      <c r="B57" s="581"/>
      <c r="C57" s="17"/>
      <c r="D57" s="20">
        <f>Zamb_1st!D33</f>
        <v>0</v>
      </c>
      <c r="E57" s="627">
        <f>Zamb_1st!E33</f>
        <v>0</v>
      </c>
      <c r="F57" s="581"/>
      <c r="G57" s="17"/>
      <c r="H57" s="20">
        <f>Zamb_1st!H33</f>
        <v>0</v>
      </c>
      <c r="I57" s="627">
        <f>Zamb_1st!I33</f>
        <v>0</v>
      </c>
      <c r="J57" s="581"/>
      <c r="K57" s="17"/>
      <c r="L57" s="581"/>
      <c r="M57" s="17"/>
    </row>
    <row r="58" spans="1:13" x14ac:dyDescent="0.25">
      <c r="A58" s="83" t="s">
        <v>193</v>
      </c>
      <c r="B58" s="581"/>
      <c r="C58" s="17"/>
      <c r="D58" s="20">
        <f>Zamb_1st!D34</f>
        <v>0</v>
      </c>
      <c r="E58" s="627">
        <f>Zamb_1st!E34</f>
        <v>0</v>
      </c>
      <c r="F58" s="581"/>
      <c r="G58" s="17"/>
      <c r="H58" s="20">
        <f>Zamb_1st!H34</f>
        <v>0</v>
      </c>
      <c r="I58" s="627">
        <f>Zamb_1st!I34</f>
        <v>0</v>
      </c>
      <c r="J58" s="581"/>
      <c r="K58" s="17"/>
      <c r="L58" s="581"/>
      <c r="M58" s="17"/>
    </row>
    <row r="59" spans="1:13" x14ac:dyDescent="0.25">
      <c r="A59" s="349" t="s">
        <v>81</v>
      </c>
      <c r="B59" s="477">
        <f t="shared" ref="B59:M59" si="27">SUM(B60:B69)</f>
        <v>0</v>
      </c>
      <c r="C59" s="351">
        <f t="shared" si="27"/>
        <v>0</v>
      </c>
      <c r="D59" s="477">
        <f t="shared" si="27"/>
        <v>0</v>
      </c>
      <c r="E59" s="351">
        <f t="shared" si="27"/>
        <v>0</v>
      </c>
      <c r="F59" s="477">
        <f t="shared" si="27"/>
        <v>0</v>
      </c>
      <c r="G59" s="351">
        <f t="shared" si="27"/>
        <v>0</v>
      </c>
      <c r="H59" s="477">
        <f t="shared" si="27"/>
        <v>0</v>
      </c>
      <c r="I59" s="351">
        <f t="shared" si="27"/>
        <v>0</v>
      </c>
      <c r="J59" s="477">
        <f t="shared" si="27"/>
        <v>0</v>
      </c>
      <c r="K59" s="351">
        <f t="shared" si="27"/>
        <v>0</v>
      </c>
      <c r="L59" s="477">
        <f t="shared" si="27"/>
        <v>0</v>
      </c>
      <c r="M59" s="351">
        <f t="shared" si="27"/>
        <v>0</v>
      </c>
    </row>
    <row r="60" spans="1:13" x14ac:dyDescent="0.25">
      <c r="A60" s="83" t="s">
        <v>194</v>
      </c>
      <c r="B60" s="581"/>
      <c r="C60" s="17"/>
      <c r="D60" s="20">
        <f>Zamb_2nd!D50</f>
        <v>0</v>
      </c>
      <c r="E60" s="627">
        <f>Zamb_2nd!E50</f>
        <v>0</v>
      </c>
      <c r="F60" s="30"/>
      <c r="G60" s="384"/>
      <c r="H60" s="20">
        <f>Zamb_2nd!H50</f>
        <v>0</v>
      </c>
      <c r="I60" s="627">
        <f>Zamb_2nd!I50</f>
        <v>0</v>
      </c>
      <c r="J60" s="30"/>
      <c r="K60" s="384"/>
      <c r="L60" s="20">
        <f>Zamb_2nd!L50</f>
        <v>0</v>
      </c>
      <c r="M60" s="627">
        <f>Zamb_2nd!M50</f>
        <v>0</v>
      </c>
    </row>
    <row r="61" spans="1:13" x14ac:dyDescent="0.25">
      <c r="A61" s="83" t="s">
        <v>195</v>
      </c>
      <c r="B61" s="581"/>
      <c r="C61" s="17"/>
      <c r="D61" s="20">
        <f>Zamb_2nd!D51</f>
        <v>0</v>
      </c>
      <c r="E61" s="627">
        <f>Zamb_2nd!E51</f>
        <v>0</v>
      </c>
      <c r="F61" s="30"/>
      <c r="G61" s="384"/>
      <c r="H61" s="20">
        <f>Zamb_2nd!H51</f>
        <v>0</v>
      </c>
      <c r="I61" s="627">
        <f>Zamb_2nd!I51</f>
        <v>0</v>
      </c>
      <c r="J61" s="30"/>
      <c r="K61" s="384"/>
      <c r="L61" s="20">
        <f>Zamb_2nd!L51</f>
        <v>0</v>
      </c>
      <c r="M61" s="627">
        <f>Zamb_2nd!M51</f>
        <v>0</v>
      </c>
    </row>
    <row r="62" spans="1:13" x14ac:dyDescent="0.25">
      <c r="A62" s="83" t="s">
        <v>196</v>
      </c>
      <c r="B62" s="581"/>
      <c r="C62" s="17"/>
      <c r="D62" s="20">
        <f>Zamb_2nd!D52</f>
        <v>0</v>
      </c>
      <c r="E62" s="627">
        <f>Zamb_2nd!E52</f>
        <v>0</v>
      </c>
      <c r="F62" s="30"/>
      <c r="G62" s="384"/>
      <c r="H62" s="20">
        <f>Zamb_2nd!H52</f>
        <v>0</v>
      </c>
      <c r="I62" s="627">
        <f>Zamb_2nd!I52</f>
        <v>0</v>
      </c>
      <c r="J62" s="30"/>
      <c r="K62" s="384"/>
      <c r="L62" s="20">
        <f>Zamb_2nd!L52</f>
        <v>0</v>
      </c>
      <c r="M62" s="627">
        <f>Zamb_2nd!M52</f>
        <v>0</v>
      </c>
    </row>
    <row r="63" spans="1:13" x14ac:dyDescent="0.25">
      <c r="A63" s="83" t="s">
        <v>11</v>
      </c>
      <c r="B63" s="581"/>
      <c r="C63" s="17"/>
      <c r="D63" s="20">
        <f>Zamb_2nd!D53</f>
        <v>0</v>
      </c>
      <c r="E63" s="627">
        <f>Zamb_2nd!E53</f>
        <v>0</v>
      </c>
      <c r="F63" s="30"/>
      <c r="G63" s="384"/>
      <c r="H63" s="20">
        <f>Zamb_2nd!H53</f>
        <v>0</v>
      </c>
      <c r="I63" s="627">
        <f>Zamb_2nd!I53</f>
        <v>0</v>
      </c>
      <c r="J63" s="30"/>
      <c r="K63" s="384"/>
      <c r="L63" s="20">
        <f>Zamb_2nd!L53</f>
        <v>0</v>
      </c>
      <c r="M63" s="627">
        <f>Zamb_2nd!M53</f>
        <v>0</v>
      </c>
    </row>
    <row r="64" spans="1:13" x14ac:dyDescent="0.25">
      <c r="A64" s="83" t="s">
        <v>12</v>
      </c>
      <c r="B64" s="581"/>
      <c r="C64" s="17"/>
      <c r="D64" s="20">
        <f>Zamb_2nd!D54</f>
        <v>0</v>
      </c>
      <c r="E64" s="627">
        <f>Zamb_2nd!E54</f>
        <v>0</v>
      </c>
      <c r="F64" s="30"/>
      <c r="G64" s="384"/>
      <c r="H64" s="20">
        <f>Zamb_2nd!H54</f>
        <v>0</v>
      </c>
      <c r="I64" s="627">
        <f>Zamb_2nd!I54</f>
        <v>0</v>
      </c>
      <c r="J64" s="30"/>
      <c r="K64" s="384"/>
      <c r="L64" s="20">
        <f>Zamb_2nd!L54</f>
        <v>0</v>
      </c>
      <c r="M64" s="627">
        <f>Zamb_2nd!M54</f>
        <v>0</v>
      </c>
    </row>
    <row r="65" spans="1:13" x14ac:dyDescent="0.25">
      <c r="A65" s="83" t="s">
        <v>197</v>
      </c>
      <c r="B65" s="581"/>
      <c r="C65" s="17"/>
      <c r="D65" s="20">
        <f>Zamb_2nd!D55</f>
        <v>0</v>
      </c>
      <c r="E65" s="627">
        <f>Zamb_2nd!E55</f>
        <v>0</v>
      </c>
      <c r="F65" s="30"/>
      <c r="G65" s="384"/>
      <c r="H65" s="20">
        <f>Zamb_2nd!H55</f>
        <v>0</v>
      </c>
      <c r="I65" s="627">
        <f>Zamb_2nd!I55</f>
        <v>0</v>
      </c>
      <c r="J65" s="30"/>
      <c r="K65" s="384"/>
      <c r="L65" s="20">
        <f>Zamb_2nd!L55</f>
        <v>0</v>
      </c>
      <c r="M65" s="627">
        <f>Zamb_2nd!M55</f>
        <v>0</v>
      </c>
    </row>
    <row r="66" spans="1:13" x14ac:dyDescent="0.25">
      <c r="A66" s="83" t="s">
        <v>147</v>
      </c>
      <c r="B66" s="581"/>
      <c r="C66" s="17"/>
      <c r="D66" s="20">
        <f>Zamb_2nd!D56</f>
        <v>0</v>
      </c>
      <c r="E66" s="627">
        <f>Zamb_2nd!E56</f>
        <v>0</v>
      </c>
      <c r="F66" s="30"/>
      <c r="G66" s="384"/>
      <c r="H66" s="20">
        <f>Zamb_2nd!H56</f>
        <v>0</v>
      </c>
      <c r="I66" s="627">
        <f>Zamb_2nd!I56</f>
        <v>0</v>
      </c>
      <c r="J66" s="30"/>
      <c r="K66" s="384"/>
      <c r="L66" s="20">
        <f>Zamb_2nd!L56</f>
        <v>0</v>
      </c>
      <c r="M66" s="627">
        <f>Zamb_2nd!M56</f>
        <v>0</v>
      </c>
    </row>
    <row r="67" spans="1:13" x14ac:dyDescent="0.25">
      <c r="A67" s="83" t="s">
        <v>198</v>
      </c>
      <c r="B67" s="581"/>
      <c r="C67" s="17"/>
      <c r="D67" s="20">
        <f>Zamb_2nd!D57</f>
        <v>0</v>
      </c>
      <c r="E67" s="627">
        <f>Zamb_2nd!E57</f>
        <v>0</v>
      </c>
      <c r="F67" s="30"/>
      <c r="G67" s="384"/>
      <c r="H67" s="20">
        <f>Zamb_2nd!H57</f>
        <v>0</v>
      </c>
      <c r="I67" s="627">
        <f>Zamb_2nd!I57</f>
        <v>0</v>
      </c>
      <c r="J67" s="30"/>
      <c r="K67" s="384"/>
      <c r="L67" s="20">
        <f>Zamb_2nd!L57</f>
        <v>0</v>
      </c>
      <c r="M67" s="627">
        <f>Zamb_2nd!M57</f>
        <v>0</v>
      </c>
    </row>
    <row r="68" spans="1:13" x14ac:dyDescent="0.25">
      <c r="A68" s="83" t="s">
        <v>199</v>
      </c>
      <c r="B68" s="581"/>
      <c r="C68" s="17"/>
      <c r="D68" s="20">
        <f>Zamb_2nd!D58</f>
        <v>0</v>
      </c>
      <c r="E68" s="627">
        <f>Zamb_2nd!E58</f>
        <v>0</v>
      </c>
      <c r="F68" s="30"/>
      <c r="G68" s="384"/>
      <c r="H68" s="20">
        <f>Zamb_2nd!H58</f>
        <v>0</v>
      </c>
      <c r="I68" s="627">
        <f>Zamb_2nd!I58</f>
        <v>0</v>
      </c>
      <c r="J68" s="30"/>
      <c r="K68" s="384"/>
      <c r="L68" s="20">
        <f>Zamb_2nd!L58</f>
        <v>0</v>
      </c>
      <c r="M68" s="627">
        <f>Zamb_2nd!M58</f>
        <v>0</v>
      </c>
    </row>
    <row r="69" spans="1:13" x14ac:dyDescent="0.25">
      <c r="A69" s="83" t="s">
        <v>200</v>
      </c>
      <c r="B69" s="275"/>
      <c r="C69" s="344"/>
      <c r="D69" s="20">
        <f>Zamb_2nd!D59</f>
        <v>0</v>
      </c>
      <c r="E69" s="627">
        <f>Zamb_2nd!E59</f>
        <v>0</v>
      </c>
      <c r="F69" s="275"/>
      <c r="G69" s="275"/>
      <c r="H69" s="20">
        <f>Zamb_2nd!H59</f>
        <v>0</v>
      </c>
      <c r="I69" s="627">
        <f>Zamb_2nd!I59</f>
        <v>0</v>
      </c>
      <c r="J69" s="275"/>
      <c r="K69" s="275"/>
      <c r="L69" s="20">
        <f>Zamb_2nd!L59</f>
        <v>0</v>
      </c>
      <c r="M69" s="627">
        <f>Zamb_2nd!M59</f>
        <v>0</v>
      </c>
    </row>
    <row r="70" spans="1:13" x14ac:dyDescent="0.25">
      <c r="G70" s="97"/>
    </row>
    <row r="72" spans="1:13" x14ac:dyDescent="0.25">
      <c r="A72" s="906" t="s">
        <v>3</v>
      </c>
      <c r="B72" s="913" t="s">
        <v>387</v>
      </c>
      <c r="C72" s="914"/>
      <c r="D72" s="914"/>
      <c r="E72" s="915"/>
      <c r="F72" s="913" t="s">
        <v>418</v>
      </c>
      <c r="G72" s="914"/>
      <c r="H72" s="914"/>
      <c r="I72" s="915"/>
      <c r="J72" s="913" t="s">
        <v>81</v>
      </c>
      <c r="K72" s="914"/>
      <c r="L72" s="914"/>
      <c r="M72" s="915"/>
    </row>
    <row r="73" spans="1:13" x14ac:dyDescent="0.25">
      <c r="A73" s="906"/>
      <c r="B73" s="899" t="s">
        <v>327</v>
      </c>
      <c r="C73" s="899"/>
      <c r="D73" s="900" t="s">
        <v>333</v>
      </c>
      <c r="E73" s="901"/>
      <c r="F73" s="899" t="s">
        <v>327</v>
      </c>
      <c r="G73" s="899"/>
      <c r="H73" s="900" t="s">
        <v>333</v>
      </c>
      <c r="I73" s="901"/>
      <c r="J73" s="907" t="s">
        <v>60</v>
      </c>
      <c r="K73" s="908"/>
      <c r="L73" s="907" t="s">
        <v>305</v>
      </c>
      <c r="M73" s="908"/>
    </row>
    <row r="74" spans="1:13" ht="30" x14ac:dyDescent="0.25">
      <c r="A74" s="906"/>
      <c r="B74" s="634" t="s">
        <v>308</v>
      </c>
      <c r="C74" s="633" t="s">
        <v>60</v>
      </c>
      <c r="D74" s="634" t="s">
        <v>308</v>
      </c>
      <c r="E74" s="17" t="s">
        <v>305</v>
      </c>
      <c r="F74" s="634" t="s">
        <v>308</v>
      </c>
      <c r="G74" s="633" t="s">
        <v>60</v>
      </c>
      <c r="H74" s="634" t="s">
        <v>308</v>
      </c>
      <c r="I74" s="17" t="s">
        <v>305</v>
      </c>
      <c r="J74" s="909"/>
      <c r="K74" s="910"/>
      <c r="L74" s="909"/>
      <c r="M74" s="910"/>
    </row>
    <row r="75" spans="1:13" ht="15.75" x14ac:dyDescent="0.25">
      <c r="A75" s="601" t="s">
        <v>14</v>
      </c>
      <c r="B75" s="611">
        <f t="shared" ref="B75:E75" si="28">B76+B81</f>
        <v>0</v>
      </c>
      <c r="C75" s="612">
        <f t="shared" si="28"/>
        <v>0</v>
      </c>
      <c r="D75" s="657">
        <f t="shared" si="28"/>
        <v>0</v>
      </c>
      <c r="E75" s="612">
        <f t="shared" si="28"/>
        <v>0</v>
      </c>
      <c r="F75" s="611">
        <f t="shared" ref="F75:I75" si="29">F76+F81</f>
        <v>0</v>
      </c>
      <c r="G75" s="612">
        <f t="shared" si="29"/>
        <v>0</v>
      </c>
      <c r="H75" s="657">
        <f t="shared" si="29"/>
        <v>0</v>
      </c>
      <c r="I75" s="612">
        <f t="shared" si="29"/>
        <v>0</v>
      </c>
      <c r="J75" s="1018">
        <f>J76+J81</f>
        <v>400807360</v>
      </c>
      <c r="K75" s="1019"/>
      <c r="L75" s="1018">
        <f>L76+L81</f>
        <v>257384204</v>
      </c>
      <c r="M75" s="1019"/>
    </row>
    <row r="76" spans="1:13" x14ac:dyDescent="0.25">
      <c r="A76" s="349" t="s">
        <v>81</v>
      </c>
      <c r="B76" s="477">
        <f t="shared" ref="B76:E76" si="30">SUM(B77:B80)</f>
        <v>0</v>
      </c>
      <c r="C76" s="351">
        <f t="shared" si="30"/>
        <v>0</v>
      </c>
      <c r="D76" s="477">
        <f t="shared" si="30"/>
        <v>0</v>
      </c>
      <c r="E76" s="351">
        <f t="shared" si="30"/>
        <v>0</v>
      </c>
      <c r="F76" s="477">
        <f t="shared" ref="F76:I76" si="31">SUM(F77:F80)</f>
        <v>0</v>
      </c>
      <c r="G76" s="351">
        <f t="shared" si="31"/>
        <v>0</v>
      </c>
      <c r="H76" s="477">
        <f t="shared" si="31"/>
        <v>0</v>
      </c>
      <c r="I76" s="351">
        <f t="shared" si="31"/>
        <v>0</v>
      </c>
      <c r="J76" s="904">
        <f>SUM(J77:K80)</f>
        <v>139360000</v>
      </c>
      <c r="K76" s="905"/>
      <c r="L76" s="904">
        <f t="shared" ref="L76" si="32">SUM(L77:L80)</f>
        <v>88485254</v>
      </c>
      <c r="M76" s="905"/>
    </row>
    <row r="77" spans="1:13" x14ac:dyDescent="0.25">
      <c r="A77" s="83" t="s">
        <v>190</v>
      </c>
      <c r="B77" s="275"/>
      <c r="C77" s="344"/>
      <c r="D77" s="614"/>
      <c r="E77" s="344"/>
      <c r="F77" s="275"/>
      <c r="G77" s="344"/>
      <c r="H77" s="614"/>
      <c r="I77" s="344"/>
      <c r="J77" s="902">
        <f>C13+G13+K13+C34+G34+K34+C55+G55+K55+C77+G77</f>
        <v>19922000</v>
      </c>
      <c r="K77" s="903"/>
      <c r="L77" s="902">
        <f>E13+I13+M13+E34+I34+M34+E55+I55+M55+E77+I77</f>
        <v>13989519</v>
      </c>
      <c r="M77" s="903"/>
    </row>
    <row r="78" spans="1:13" x14ac:dyDescent="0.25">
      <c r="A78" s="83" t="s">
        <v>191</v>
      </c>
      <c r="B78" s="275"/>
      <c r="C78" s="344"/>
      <c r="D78" s="614"/>
      <c r="E78" s="344"/>
      <c r="F78" s="275"/>
      <c r="G78" s="344"/>
      <c r="H78" s="614"/>
      <c r="I78" s="344"/>
      <c r="J78" s="902">
        <f t="shared" ref="J78:J80" si="33">C14+G14+K14+C35+G35+K35+C56+G56+K56+C78+G78</f>
        <v>45423000</v>
      </c>
      <c r="K78" s="903"/>
      <c r="L78" s="902">
        <f t="shared" ref="L78:L80" si="34">E14+I14+M14+E35+I35+M35+E56+I56+M56+E78+I78</f>
        <v>32521142</v>
      </c>
      <c r="M78" s="903"/>
    </row>
    <row r="79" spans="1:13" x14ac:dyDescent="0.25">
      <c r="A79" s="83" t="s">
        <v>192</v>
      </c>
      <c r="B79" s="275"/>
      <c r="C79" s="344"/>
      <c r="D79" s="614"/>
      <c r="E79" s="344"/>
      <c r="F79" s="275"/>
      <c r="G79" s="344"/>
      <c r="H79" s="614"/>
      <c r="I79" s="344"/>
      <c r="J79" s="902">
        <f t="shared" si="33"/>
        <v>25577000</v>
      </c>
      <c r="K79" s="903"/>
      <c r="L79" s="902">
        <f t="shared" si="34"/>
        <v>12497528</v>
      </c>
      <c r="M79" s="903"/>
    </row>
    <row r="80" spans="1:13" x14ac:dyDescent="0.25">
      <c r="A80" s="83" t="s">
        <v>193</v>
      </c>
      <c r="B80" s="275"/>
      <c r="C80" s="344"/>
      <c r="D80" s="614"/>
      <c r="E80" s="344"/>
      <c r="F80" s="275"/>
      <c r="G80" s="344"/>
      <c r="H80" s="614"/>
      <c r="I80" s="344"/>
      <c r="J80" s="902">
        <f t="shared" si="33"/>
        <v>48438000</v>
      </c>
      <c r="K80" s="903"/>
      <c r="L80" s="902">
        <f t="shared" si="34"/>
        <v>29477065</v>
      </c>
      <c r="M80" s="903"/>
    </row>
    <row r="81" spans="1:13" x14ac:dyDescent="0.25">
      <c r="A81" s="349" t="s">
        <v>81</v>
      </c>
      <c r="B81" s="477">
        <f t="shared" ref="B81:E81" si="35">SUM(B82:B91)</f>
        <v>0</v>
      </c>
      <c r="C81" s="351">
        <f t="shared" si="35"/>
        <v>0</v>
      </c>
      <c r="D81" s="477">
        <f t="shared" si="35"/>
        <v>0</v>
      </c>
      <c r="E81" s="351">
        <f t="shared" si="35"/>
        <v>0</v>
      </c>
      <c r="F81" s="477">
        <f t="shared" ref="F81:I81" si="36">SUM(F82:F91)</f>
        <v>0</v>
      </c>
      <c r="G81" s="351">
        <f t="shared" si="36"/>
        <v>0</v>
      </c>
      <c r="H81" s="477">
        <f t="shared" si="36"/>
        <v>0</v>
      </c>
      <c r="I81" s="351">
        <f t="shared" si="36"/>
        <v>0</v>
      </c>
      <c r="J81" s="904">
        <f>SUM(J82:K91)</f>
        <v>261447360</v>
      </c>
      <c r="K81" s="905"/>
      <c r="L81" s="904">
        <f>SUM(L82:L91)</f>
        <v>168898950</v>
      </c>
      <c r="M81" s="905"/>
    </row>
    <row r="82" spans="1:13" x14ac:dyDescent="0.25">
      <c r="A82" s="83" t="s">
        <v>194</v>
      </c>
      <c r="B82" s="275"/>
      <c r="C82" s="344"/>
      <c r="D82" s="614">
        <f>Zamb_2nd!D65</f>
        <v>0</v>
      </c>
      <c r="E82" s="344">
        <f>Zamb_2nd!E65</f>
        <v>0</v>
      </c>
      <c r="F82" s="275"/>
      <c r="G82" s="344"/>
      <c r="H82" s="614"/>
      <c r="I82" s="344">
        <f>Zamb_2nd!I65</f>
        <v>0</v>
      </c>
      <c r="J82" s="902">
        <f t="shared" ref="J82:J91" si="37">C18+G18+K18+C39+G39+K39+C60+G60+K60+C82+G82</f>
        <v>33998000</v>
      </c>
      <c r="K82" s="903"/>
      <c r="L82" s="902">
        <f t="shared" ref="L82:L91" si="38">E18+I18+M18+E39+I39+M39+E60+I60+M60+E82+I82</f>
        <v>24476690</v>
      </c>
      <c r="M82" s="903"/>
    </row>
    <row r="83" spans="1:13" x14ac:dyDescent="0.25">
      <c r="A83" s="83" t="s">
        <v>195</v>
      </c>
      <c r="B83" s="275"/>
      <c r="C83" s="344"/>
      <c r="D83" s="614">
        <f>Zamb_2nd!D66</f>
        <v>0</v>
      </c>
      <c r="E83" s="344">
        <f>Zamb_2nd!E66</f>
        <v>0</v>
      </c>
      <c r="F83" s="275"/>
      <c r="G83" s="344"/>
      <c r="H83" s="614"/>
      <c r="I83" s="344">
        <f>Zamb_2nd!I66</f>
        <v>0</v>
      </c>
      <c r="J83" s="902">
        <f t="shared" si="37"/>
        <v>21916000</v>
      </c>
      <c r="K83" s="903"/>
      <c r="L83" s="902">
        <f t="shared" si="38"/>
        <v>14376900</v>
      </c>
      <c r="M83" s="903"/>
    </row>
    <row r="84" spans="1:13" x14ac:dyDescent="0.25">
      <c r="A84" s="83" t="s">
        <v>196</v>
      </c>
      <c r="B84" s="275"/>
      <c r="C84" s="344"/>
      <c r="D84" s="614">
        <f>Zamb_2nd!D67</f>
        <v>0</v>
      </c>
      <c r="E84" s="344">
        <f>Zamb_2nd!E67</f>
        <v>0</v>
      </c>
      <c r="F84" s="275"/>
      <c r="G84" s="344"/>
      <c r="H84" s="614"/>
      <c r="I84" s="344">
        <f>Zamb_2nd!I67</f>
        <v>0</v>
      </c>
      <c r="J84" s="902">
        <f t="shared" si="37"/>
        <v>20809360</v>
      </c>
      <c r="K84" s="903"/>
      <c r="L84" s="902">
        <f t="shared" si="38"/>
        <v>13667400</v>
      </c>
      <c r="M84" s="903"/>
    </row>
    <row r="85" spans="1:13" x14ac:dyDescent="0.25">
      <c r="A85" s="83" t="s">
        <v>11</v>
      </c>
      <c r="B85" s="275"/>
      <c r="C85" s="344"/>
      <c r="D85" s="614">
        <f>Zamb_2nd!D68</f>
        <v>0</v>
      </c>
      <c r="E85" s="344">
        <f>Zamb_2nd!E68</f>
        <v>0</v>
      </c>
      <c r="F85" s="275"/>
      <c r="G85" s="344"/>
      <c r="H85" s="614"/>
      <c r="I85" s="344">
        <f>Zamb_2nd!I68</f>
        <v>0</v>
      </c>
      <c r="J85" s="902">
        <f t="shared" si="37"/>
        <v>28000000</v>
      </c>
      <c r="K85" s="903"/>
      <c r="L85" s="902">
        <f t="shared" si="38"/>
        <v>15652720</v>
      </c>
      <c r="M85" s="903"/>
    </row>
    <row r="86" spans="1:13" x14ac:dyDescent="0.25">
      <c r="A86" s="83" t="s">
        <v>12</v>
      </c>
      <c r="B86" s="275"/>
      <c r="C86" s="344"/>
      <c r="D86" s="614">
        <f>Zamb_2nd!D69</f>
        <v>0</v>
      </c>
      <c r="E86" s="344">
        <f>Zamb_2nd!E69</f>
        <v>0</v>
      </c>
      <c r="F86" s="275"/>
      <c r="G86" s="344"/>
      <c r="H86" s="614"/>
      <c r="I86" s="344">
        <f>Zamb_2nd!I69</f>
        <v>0</v>
      </c>
      <c r="J86" s="902">
        <f t="shared" si="37"/>
        <v>28486000</v>
      </c>
      <c r="K86" s="903"/>
      <c r="L86" s="902">
        <f t="shared" si="38"/>
        <v>16973560</v>
      </c>
      <c r="M86" s="903"/>
    </row>
    <row r="87" spans="1:13" x14ac:dyDescent="0.25">
      <c r="A87" s="83" t="s">
        <v>197</v>
      </c>
      <c r="B87" s="275"/>
      <c r="C87" s="344"/>
      <c r="D87" s="614">
        <f>Zamb_2nd!D70</f>
        <v>0</v>
      </c>
      <c r="E87" s="344">
        <f>Zamb_2nd!E70</f>
        <v>0</v>
      </c>
      <c r="F87" s="275"/>
      <c r="G87" s="344"/>
      <c r="H87" s="614"/>
      <c r="I87" s="344">
        <f>Zamb_2nd!I70</f>
        <v>0</v>
      </c>
      <c r="J87" s="902">
        <f t="shared" si="37"/>
        <v>32775000</v>
      </c>
      <c r="K87" s="903"/>
      <c r="L87" s="902">
        <f t="shared" si="38"/>
        <v>22793200</v>
      </c>
      <c r="M87" s="903"/>
    </row>
    <row r="88" spans="1:13" x14ac:dyDescent="0.25">
      <c r="A88" s="83" t="s">
        <v>147</v>
      </c>
      <c r="B88" s="275"/>
      <c r="C88" s="344"/>
      <c r="D88" s="614">
        <f>Zamb_2nd!D71</f>
        <v>0</v>
      </c>
      <c r="E88" s="344">
        <f>Zamb_2nd!E71</f>
        <v>0</v>
      </c>
      <c r="F88" s="275"/>
      <c r="G88" s="344"/>
      <c r="H88" s="614"/>
      <c r="I88" s="344">
        <f>Zamb_2nd!I71</f>
        <v>0</v>
      </c>
      <c r="J88" s="902">
        <f t="shared" si="37"/>
        <v>21092000</v>
      </c>
      <c r="K88" s="903"/>
      <c r="L88" s="902">
        <f t="shared" si="38"/>
        <v>10727500</v>
      </c>
      <c r="M88" s="903"/>
    </row>
    <row r="89" spans="1:13" x14ac:dyDescent="0.25">
      <c r="A89" s="83" t="s">
        <v>198</v>
      </c>
      <c r="B89" s="275"/>
      <c r="C89" s="344"/>
      <c r="D89" s="614">
        <f>Zamb_2nd!D72</f>
        <v>0</v>
      </c>
      <c r="E89" s="344">
        <f>Zamb_2nd!E72</f>
        <v>0</v>
      </c>
      <c r="F89" s="275"/>
      <c r="G89" s="344"/>
      <c r="H89" s="614"/>
      <c r="I89" s="344">
        <f>Zamb_2nd!I72</f>
        <v>0</v>
      </c>
      <c r="J89" s="902">
        <f t="shared" si="37"/>
        <v>15231000</v>
      </c>
      <c r="K89" s="903"/>
      <c r="L89" s="902">
        <f t="shared" si="38"/>
        <v>8711700</v>
      </c>
      <c r="M89" s="903"/>
    </row>
    <row r="90" spans="1:13" x14ac:dyDescent="0.25">
      <c r="A90" s="83" t="s">
        <v>199</v>
      </c>
      <c r="B90" s="275"/>
      <c r="C90" s="344"/>
      <c r="D90" s="614">
        <f>Zamb_2nd!D73</f>
        <v>0</v>
      </c>
      <c r="E90" s="344">
        <f>Zamb_2nd!E73</f>
        <v>0</v>
      </c>
      <c r="F90" s="275"/>
      <c r="G90" s="344"/>
      <c r="H90" s="614"/>
      <c r="I90" s="344">
        <f>Zamb_2nd!I73</f>
        <v>0</v>
      </c>
      <c r="J90" s="902">
        <f t="shared" si="37"/>
        <v>16054000</v>
      </c>
      <c r="K90" s="903"/>
      <c r="L90" s="902">
        <f t="shared" si="38"/>
        <v>11003500</v>
      </c>
      <c r="M90" s="903"/>
    </row>
    <row r="91" spans="1:13" x14ac:dyDescent="0.25">
      <c r="A91" s="83" t="s">
        <v>200</v>
      </c>
      <c r="B91" s="275"/>
      <c r="C91" s="344"/>
      <c r="D91" s="614">
        <f>Zamb_2nd!D74</f>
        <v>0</v>
      </c>
      <c r="E91" s="344">
        <f>Zamb_2nd!E74</f>
        <v>0</v>
      </c>
      <c r="F91" s="275"/>
      <c r="G91" s="344"/>
      <c r="H91" s="614"/>
      <c r="I91" s="344">
        <f>Zamb_2nd!I74</f>
        <v>0</v>
      </c>
      <c r="J91" s="902">
        <f t="shared" si="37"/>
        <v>43086000</v>
      </c>
      <c r="K91" s="903"/>
      <c r="L91" s="902">
        <f t="shared" si="38"/>
        <v>30515780</v>
      </c>
      <c r="M91" s="903"/>
    </row>
  </sheetData>
  <mergeCells count="79">
    <mergeCell ref="J91:K91"/>
    <mergeCell ref="L91:M91"/>
    <mergeCell ref="J75:K75"/>
    <mergeCell ref="L75:M75"/>
    <mergeCell ref="J88:K88"/>
    <mergeCell ref="L88:M88"/>
    <mergeCell ref="J89:K89"/>
    <mergeCell ref="L89:M89"/>
    <mergeCell ref="J90:K90"/>
    <mergeCell ref="L90:M90"/>
    <mergeCell ref="J85:K85"/>
    <mergeCell ref="L85:M85"/>
    <mergeCell ref="J86:K86"/>
    <mergeCell ref="L86:M86"/>
    <mergeCell ref="J87:K87"/>
    <mergeCell ref="L87:M87"/>
    <mergeCell ref="J82:K82"/>
    <mergeCell ref="L82:M82"/>
    <mergeCell ref="J83:K83"/>
    <mergeCell ref="L83:M83"/>
    <mergeCell ref="J84:K84"/>
    <mergeCell ref="L84:M84"/>
    <mergeCell ref="J79:K79"/>
    <mergeCell ref="L79:M79"/>
    <mergeCell ref="J80:K80"/>
    <mergeCell ref="L80:M80"/>
    <mergeCell ref="J81:K81"/>
    <mergeCell ref="L81:M81"/>
    <mergeCell ref="J76:K76"/>
    <mergeCell ref="L76:M76"/>
    <mergeCell ref="J77:K77"/>
    <mergeCell ref="L77:M77"/>
    <mergeCell ref="J78:K78"/>
    <mergeCell ref="L78:M78"/>
    <mergeCell ref="J51:K51"/>
    <mergeCell ref="L51:M51"/>
    <mergeCell ref="A72:A74"/>
    <mergeCell ref="J72:M72"/>
    <mergeCell ref="J73:K74"/>
    <mergeCell ref="L73:M74"/>
    <mergeCell ref="D51:E51"/>
    <mergeCell ref="F51:G51"/>
    <mergeCell ref="H51:I51"/>
    <mergeCell ref="A50:A52"/>
    <mergeCell ref="B50:E50"/>
    <mergeCell ref="F50:I50"/>
    <mergeCell ref="J50:M50"/>
    <mergeCell ref="B51:C51"/>
    <mergeCell ref="B72:E72"/>
    <mergeCell ref="B73:C73"/>
    <mergeCell ref="J29:M29"/>
    <mergeCell ref="B30:C30"/>
    <mergeCell ref="D30:E30"/>
    <mergeCell ref="F30:G30"/>
    <mergeCell ref="H30:I30"/>
    <mergeCell ref="J30:K30"/>
    <mergeCell ref="L30:M30"/>
    <mergeCell ref="A1:M1"/>
    <mergeCell ref="A2:M2"/>
    <mergeCell ref="A3:M3"/>
    <mergeCell ref="A5:M5"/>
    <mergeCell ref="A6:M6"/>
    <mergeCell ref="J8:M8"/>
    <mergeCell ref="B9:C9"/>
    <mergeCell ref="D9:E9"/>
    <mergeCell ref="F9:G9"/>
    <mergeCell ref="H9:I9"/>
    <mergeCell ref="J9:K9"/>
    <mergeCell ref="L9:M9"/>
    <mergeCell ref="D73:E73"/>
    <mergeCell ref="F72:I72"/>
    <mergeCell ref="F73:G73"/>
    <mergeCell ref="H73:I73"/>
    <mergeCell ref="A8:A10"/>
    <mergeCell ref="B8:E8"/>
    <mergeCell ref="F8:I8"/>
    <mergeCell ref="A29:A31"/>
    <mergeCell ref="B29:E29"/>
    <mergeCell ref="F29:I29"/>
  </mergeCells>
  <pageMargins left="0.77" right="0.15748031496063" top="0.37" bottom="0.36" header="0.39" footer="0.12"/>
  <pageSetup paperSize="9" scale="65" orientation="landscape" r:id="rId1"/>
  <headerFooter>
    <oddFooter>&amp;LPrograms/Projects Implemented
in the Province of Zambales&amp;CPage &amp;P of &amp;N</oddFooter>
  </headerFooter>
  <rowBreaks count="1" manualBreakCount="1">
    <brk id="48" max="12"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5"/>
  <sheetViews>
    <sheetView view="pageBreakPreview" zoomScale="80" zoomScaleNormal="80" zoomScaleSheetLayoutView="80" workbookViewId="0">
      <selection activeCell="M26" sqref="M26"/>
    </sheetView>
  </sheetViews>
  <sheetFormatPr defaultRowHeight="15" x14ac:dyDescent="0.25"/>
  <cols>
    <col min="1" max="1" width="16.140625" customWidth="1"/>
    <col min="2" max="2" width="11.42578125" customWidth="1"/>
    <col min="3" max="3" width="16" style="97" customWidth="1"/>
    <col min="4" max="4" width="12" style="97" customWidth="1"/>
    <col min="5" max="5" width="16.5703125" style="97" customWidth="1"/>
    <col min="6" max="6" width="9.5703125" customWidth="1"/>
    <col min="7" max="7" width="14.42578125" customWidth="1"/>
    <col min="8" max="8" width="11" customWidth="1"/>
    <col min="9" max="9" width="14.7109375" style="97" customWidth="1"/>
    <col min="10" max="10" width="11.5703125" customWidth="1"/>
    <col min="11" max="11" width="14.5703125" style="97" customWidth="1"/>
    <col min="12" max="12" width="11.42578125" customWidth="1"/>
    <col min="13" max="13" width="17.1406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 x14ac:dyDescent="0.35">
      <c r="A5" s="911" t="s">
        <v>369</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8" x14ac:dyDescent="0.35">
      <c r="A7" s="496"/>
      <c r="B7" s="496"/>
      <c r="C7" s="496"/>
      <c r="D7" s="496"/>
      <c r="E7" s="496"/>
      <c r="F7" s="496"/>
      <c r="G7" s="496"/>
      <c r="H7" s="496"/>
      <c r="I7" s="496"/>
      <c r="J7" s="496"/>
      <c r="K7" s="496"/>
      <c r="L7" s="496"/>
      <c r="M7" s="496"/>
    </row>
    <row r="8" spans="1:13" s="501" customFormat="1" ht="23.25" x14ac:dyDescent="0.35">
      <c r="A8" s="497" t="s">
        <v>425</v>
      </c>
      <c r="B8" s="506"/>
      <c r="C8" s="505"/>
      <c r="D8" s="502"/>
      <c r="E8" s="505"/>
      <c r="F8" s="502"/>
      <c r="G8" s="505"/>
      <c r="H8" s="502"/>
      <c r="I8" s="505"/>
      <c r="J8" s="502"/>
    </row>
    <row r="9" spans="1:13" s="48" customFormat="1" ht="28.5" customHeight="1" x14ac:dyDescent="0.25">
      <c r="A9" s="906" t="s">
        <v>3</v>
      </c>
      <c r="B9" s="913" t="s">
        <v>5</v>
      </c>
      <c r="C9" s="914"/>
      <c r="D9" s="914"/>
      <c r="E9" s="915"/>
      <c r="F9" s="913" t="s">
        <v>7</v>
      </c>
      <c r="G9" s="914"/>
      <c r="H9" s="914"/>
      <c r="I9" s="915"/>
      <c r="J9" s="913" t="s">
        <v>306</v>
      </c>
      <c r="K9" s="914"/>
      <c r="L9" s="914"/>
      <c r="M9" s="915"/>
    </row>
    <row r="10" spans="1:13" ht="28.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94" t="s">
        <v>307</v>
      </c>
      <c r="C11" s="476" t="s">
        <v>60</v>
      </c>
      <c r="D11" s="494" t="s">
        <v>307</v>
      </c>
      <c r="E11" s="17" t="s">
        <v>305</v>
      </c>
      <c r="F11" s="494" t="s">
        <v>308</v>
      </c>
      <c r="G11" s="495" t="s">
        <v>60</v>
      </c>
      <c r="H11" s="494" t="s">
        <v>308</v>
      </c>
      <c r="I11" s="17" t="s">
        <v>305</v>
      </c>
      <c r="J11" s="494" t="s">
        <v>309</v>
      </c>
      <c r="K11" s="476" t="s">
        <v>60</v>
      </c>
      <c r="L11" s="494" t="s">
        <v>309</v>
      </c>
      <c r="M11" s="17" t="s">
        <v>305</v>
      </c>
    </row>
    <row r="12" spans="1:13" x14ac:dyDescent="0.25">
      <c r="A12" s="349" t="s">
        <v>81</v>
      </c>
      <c r="B12" s="477">
        <f t="shared" ref="B12:M12" si="0">SUM(B13:B16)</f>
        <v>6924</v>
      </c>
      <c r="C12" s="351">
        <f t="shared" si="0"/>
        <v>103860000</v>
      </c>
      <c r="D12" s="477">
        <f t="shared" si="0"/>
        <v>6612</v>
      </c>
      <c r="E12" s="646">
        <f t="shared" si="0"/>
        <v>66715900</v>
      </c>
      <c r="F12" s="477">
        <f t="shared" si="0"/>
        <v>786</v>
      </c>
      <c r="G12" s="351">
        <f t="shared" si="0"/>
        <v>7860000</v>
      </c>
      <c r="H12" s="477">
        <f t="shared" si="0"/>
        <v>190</v>
      </c>
      <c r="I12" s="351">
        <f t="shared" si="0"/>
        <v>1491005</v>
      </c>
      <c r="J12" s="477">
        <f t="shared" si="0"/>
        <v>3400</v>
      </c>
      <c r="K12" s="351">
        <f t="shared" si="0"/>
        <v>5304000</v>
      </c>
      <c r="L12" s="508">
        <f t="shared" si="0"/>
        <v>3703</v>
      </c>
      <c r="M12" s="351">
        <f t="shared" si="0"/>
        <v>2489760</v>
      </c>
    </row>
    <row r="13" spans="1:13" x14ac:dyDescent="0.25">
      <c r="A13" s="83" t="s">
        <v>190</v>
      </c>
      <c r="B13" s="726">
        <f>1087-43</f>
        <v>1044</v>
      </c>
      <c r="C13" s="442">
        <f t="shared" ref="C13:C16" si="1">B13*15000</f>
        <v>15660000</v>
      </c>
      <c r="D13" s="769">
        <v>1044</v>
      </c>
      <c r="E13" s="756">
        <v>10463400</v>
      </c>
      <c r="F13" s="30"/>
      <c r="G13" s="384">
        <f>F13*10000</f>
        <v>0</v>
      </c>
      <c r="H13" s="743">
        <v>75</v>
      </c>
      <c r="I13" s="744">
        <v>610395</v>
      </c>
      <c r="J13" s="723"/>
      <c r="K13" s="730">
        <f>J13*1560</f>
        <v>0</v>
      </c>
      <c r="L13" s="558"/>
      <c r="M13" s="17"/>
    </row>
    <row r="14" spans="1:13" x14ac:dyDescent="0.25">
      <c r="A14" s="83" t="s">
        <v>191</v>
      </c>
      <c r="B14" s="726">
        <f>2402-179</f>
        <v>2223</v>
      </c>
      <c r="C14" s="442">
        <f t="shared" si="1"/>
        <v>33345000</v>
      </c>
      <c r="D14" s="769">
        <v>2132</v>
      </c>
      <c r="E14" s="756">
        <v>22642500</v>
      </c>
      <c r="F14" s="30">
        <v>381</v>
      </c>
      <c r="G14" s="384">
        <f t="shared" ref="G14:G16" si="2">F14*10000</f>
        <v>3810000</v>
      </c>
      <c r="H14" s="743">
        <v>56</v>
      </c>
      <c r="I14" s="744">
        <v>353110</v>
      </c>
      <c r="J14" s="723">
        <v>1500</v>
      </c>
      <c r="K14" s="730">
        <f t="shared" ref="K14:K16" si="3">J14*1560</f>
        <v>2340000</v>
      </c>
      <c r="L14" s="558">
        <v>2413</v>
      </c>
      <c r="M14" s="17">
        <v>711360</v>
      </c>
    </row>
    <row r="15" spans="1:13" x14ac:dyDescent="0.25">
      <c r="A15" s="83" t="s">
        <v>192</v>
      </c>
      <c r="B15" s="726">
        <f>1202-3</f>
        <v>1199</v>
      </c>
      <c r="C15" s="442">
        <f t="shared" si="1"/>
        <v>17985000</v>
      </c>
      <c r="D15" s="769">
        <v>1092</v>
      </c>
      <c r="E15" s="756">
        <v>10232600</v>
      </c>
      <c r="F15" s="30">
        <v>140</v>
      </c>
      <c r="G15" s="384">
        <f t="shared" si="2"/>
        <v>1400000</v>
      </c>
      <c r="H15" s="743"/>
      <c r="I15" s="744"/>
      <c r="J15" s="723">
        <v>600</v>
      </c>
      <c r="K15" s="730">
        <f t="shared" si="3"/>
        <v>936000</v>
      </c>
      <c r="L15" s="558"/>
      <c r="M15" s="17"/>
    </row>
    <row r="16" spans="1:13" x14ac:dyDescent="0.25">
      <c r="A16" s="83" t="s">
        <v>193</v>
      </c>
      <c r="B16" s="726">
        <f>2549-91</f>
        <v>2458</v>
      </c>
      <c r="C16" s="442">
        <f t="shared" si="1"/>
        <v>36870000</v>
      </c>
      <c r="D16" s="769">
        <v>2344</v>
      </c>
      <c r="E16" s="756">
        <v>23377400</v>
      </c>
      <c r="F16" s="30">
        <v>265</v>
      </c>
      <c r="G16" s="384">
        <f t="shared" si="2"/>
        <v>2650000</v>
      </c>
      <c r="H16" s="743">
        <v>59</v>
      </c>
      <c r="I16" s="744">
        <v>527500</v>
      </c>
      <c r="J16" s="723">
        <v>1300</v>
      </c>
      <c r="K16" s="730">
        <f t="shared" si="3"/>
        <v>2028000</v>
      </c>
      <c r="L16" s="558">
        <v>1290</v>
      </c>
      <c r="M16" s="17">
        <v>1778400</v>
      </c>
    </row>
    <row r="18" spans="1:13" s="48" customFormat="1" ht="28.5" customHeight="1" x14ac:dyDescent="0.25">
      <c r="A18" s="906" t="s">
        <v>3</v>
      </c>
      <c r="B18" s="913" t="s">
        <v>16</v>
      </c>
      <c r="C18" s="914"/>
      <c r="D18" s="914"/>
      <c r="E18" s="915"/>
      <c r="F18" s="913" t="s">
        <v>421</v>
      </c>
      <c r="G18" s="914"/>
      <c r="H18" s="914"/>
      <c r="I18" s="915"/>
      <c r="J18" s="913" t="s">
        <v>329</v>
      </c>
      <c r="K18" s="914"/>
      <c r="L18" s="914"/>
      <c r="M18" s="915"/>
    </row>
    <row r="19" spans="1:13" ht="25.5" customHeight="1" x14ac:dyDescent="0.25">
      <c r="A19" s="906"/>
      <c r="B19" s="899" t="s">
        <v>327</v>
      </c>
      <c r="C19" s="899"/>
      <c r="D19" s="900" t="s">
        <v>333</v>
      </c>
      <c r="E19" s="901"/>
      <c r="F19" s="899" t="s">
        <v>327</v>
      </c>
      <c r="G19" s="899"/>
      <c r="H19" s="900" t="s">
        <v>333</v>
      </c>
      <c r="I19" s="901"/>
      <c r="J19" s="899" t="s">
        <v>327</v>
      </c>
      <c r="K19" s="899"/>
      <c r="L19" s="900" t="s">
        <v>333</v>
      </c>
      <c r="M19" s="901"/>
    </row>
    <row r="20" spans="1:13" ht="45" customHeight="1" x14ac:dyDescent="0.25">
      <c r="A20" s="906"/>
      <c r="B20" s="494" t="s">
        <v>330</v>
      </c>
      <c r="C20" s="476" t="s">
        <v>60</v>
      </c>
      <c r="D20" s="494" t="s">
        <v>330</v>
      </c>
      <c r="E20" s="17" t="s">
        <v>305</v>
      </c>
      <c r="F20" s="494" t="s">
        <v>253</v>
      </c>
      <c r="G20" s="495" t="s">
        <v>60</v>
      </c>
      <c r="H20" s="494" t="s">
        <v>253</v>
      </c>
      <c r="I20" s="476" t="s">
        <v>305</v>
      </c>
      <c r="J20" s="494" t="s">
        <v>310</v>
      </c>
      <c r="K20" s="476" t="s">
        <v>60</v>
      </c>
      <c r="L20" s="494" t="s">
        <v>310</v>
      </c>
      <c r="M20" s="17" t="s">
        <v>305</v>
      </c>
    </row>
    <row r="21" spans="1:13" ht="14.45" x14ac:dyDescent="0.3">
      <c r="A21" s="349" t="s">
        <v>81</v>
      </c>
      <c r="B21" s="477">
        <f t="shared" ref="B21:M21" si="4">SUM(B22:B25)</f>
        <v>1296</v>
      </c>
      <c r="C21" s="351">
        <f t="shared" si="4"/>
        <v>7776000</v>
      </c>
      <c r="D21" s="477">
        <f t="shared" si="4"/>
        <v>1377</v>
      </c>
      <c r="E21" s="351">
        <f t="shared" si="4"/>
        <v>8262000</v>
      </c>
      <c r="F21" s="477">
        <f t="shared" si="4"/>
        <v>8</v>
      </c>
      <c r="G21" s="351">
        <f t="shared" si="4"/>
        <v>14560000</v>
      </c>
      <c r="H21" s="477">
        <f t="shared" si="4"/>
        <v>0</v>
      </c>
      <c r="I21" s="351">
        <f t="shared" si="4"/>
        <v>0</v>
      </c>
      <c r="J21" s="477">
        <f t="shared" si="4"/>
        <v>0</v>
      </c>
      <c r="K21" s="351">
        <f t="shared" si="4"/>
        <v>0</v>
      </c>
      <c r="L21" s="350">
        <f t="shared" si="4"/>
        <v>2353</v>
      </c>
      <c r="M21" s="351">
        <f t="shared" si="4"/>
        <v>9526589</v>
      </c>
    </row>
    <row r="22" spans="1:13" x14ac:dyDescent="0.25">
      <c r="A22" s="83" t="s">
        <v>190</v>
      </c>
      <c r="B22" s="723">
        <v>337</v>
      </c>
      <c r="C22" s="730">
        <f t="shared" ref="C22:C25" si="5">B22*500*12</f>
        <v>2022000</v>
      </c>
      <c r="D22" s="30">
        <v>349</v>
      </c>
      <c r="E22" s="384">
        <f>D22*6000</f>
        <v>2094000</v>
      </c>
      <c r="F22" s="30">
        <f>1</f>
        <v>1</v>
      </c>
      <c r="G22" s="384">
        <f>2240000</f>
        <v>2240000</v>
      </c>
      <c r="H22" s="30"/>
      <c r="I22" s="384"/>
      <c r="J22" s="478"/>
      <c r="K22" s="386"/>
      <c r="L22" s="739">
        <v>212</v>
      </c>
      <c r="M22" s="740">
        <v>821724</v>
      </c>
    </row>
    <row r="23" spans="1:13" x14ac:dyDescent="0.25">
      <c r="A23" s="83" t="s">
        <v>191</v>
      </c>
      <c r="B23" s="723">
        <v>343</v>
      </c>
      <c r="C23" s="730">
        <f t="shared" si="5"/>
        <v>2058000</v>
      </c>
      <c r="D23" s="30">
        <v>340</v>
      </c>
      <c r="E23" s="384">
        <f t="shared" ref="E23:E25" si="6">D23*6000</f>
        <v>2040000</v>
      </c>
      <c r="F23" s="30">
        <f>3</f>
        <v>3</v>
      </c>
      <c r="G23" s="384">
        <f>1350000+1800000+720000</f>
        <v>3870000</v>
      </c>
      <c r="H23" s="30"/>
      <c r="I23" s="384"/>
      <c r="J23" s="478"/>
      <c r="K23" s="386"/>
      <c r="L23" s="739">
        <v>1667</v>
      </c>
      <c r="M23" s="740">
        <v>6774172</v>
      </c>
    </row>
    <row r="24" spans="1:13" x14ac:dyDescent="0.25">
      <c r="A24" s="83" t="s">
        <v>192</v>
      </c>
      <c r="B24" s="723">
        <v>326</v>
      </c>
      <c r="C24" s="730">
        <f t="shared" si="5"/>
        <v>1956000</v>
      </c>
      <c r="D24" s="30">
        <v>304</v>
      </c>
      <c r="E24" s="384">
        <f t="shared" si="6"/>
        <v>1824000</v>
      </c>
      <c r="F24" s="30">
        <f>2</f>
        <v>2</v>
      </c>
      <c r="G24" s="384">
        <v>3300000</v>
      </c>
      <c r="H24" s="30"/>
      <c r="I24" s="384"/>
      <c r="J24" s="478"/>
      <c r="K24" s="386"/>
      <c r="L24" s="739">
        <v>115</v>
      </c>
      <c r="M24" s="740">
        <v>440928</v>
      </c>
    </row>
    <row r="25" spans="1:13" x14ac:dyDescent="0.25">
      <c r="A25" s="83" t="s">
        <v>193</v>
      </c>
      <c r="B25" s="723">
        <v>290</v>
      </c>
      <c r="C25" s="730">
        <f t="shared" si="5"/>
        <v>1740000</v>
      </c>
      <c r="D25" s="30">
        <v>384</v>
      </c>
      <c r="E25" s="384">
        <f t="shared" si="6"/>
        <v>2304000</v>
      </c>
      <c r="F25" s="30">
        <v>2</v>
      </c>
      <c r="G25" s="384">
        <f>4650000+500000</f>
        <v>5150000</v>
      </c>
      <c r="H25" s="30"/>
      <c r="I25" s="384"/>
      <c r="J25" s="478"/>
      <c r="K25" s="386"/>
      <c r="L25" s="739">
        <v>359</v>
      </c>
      <c r="M25" s="740">
        <v>1489765</v>
      </c>
    </row>
    <row r="27" spans="1:13" s="48" customFormat="1" ht="28.5" customHeight="1" x14ac:dyDescent="0.25">
      <c r="A27" s="906" t="s">
        <v>3</v>
      </c>
      <c r="B27" s="913" t="s">
        <v>331</v>
      </c>
      <c r="C27" s="914"/>
      <c r="D27" s="914"/>
      <c r="E27" s="915"/>
      <c r="F27" s="913" t="s">
        <v>63</v>
      </c>
      <c r="G27" s="914"/>
      <c r="H27" s="914"/>
      <c r="I27" s="915"/>
      <c r="J27" s="913" t="s">
        <v>81</v>
      </c>
      <c r="K27" s="914"/>
      <c r="L27" s="914"/>
      <c r="M27" s="915"/>
    </row>
    <row r="28" spans="1:13" ht="24.75" customHeight="1" x14ac:dyDescent="0.25">
      <c r="A28" s="906"/>
      <c r="B28" s="899" t="s">
        <v>327</v>
      </c>
      <c r="C28" s="899"/>
      <c r="D28" s="900" t="s">
        <v>333</v>
      </c>
      <c r="E28" s="901"/>
      <c r="F28" s="899" t="s">
        <v>327</v>
      </c>
      <c r="G28" s="899"/>
      <c r="H28" s="900" t="s">
        <v>333</v>
      </c>
      <c r="I28" s="901"/>
      <c r="J28" s="907" t="s">
        <v>60</v>
      </c>
      <c r="K28" s="908"/>
      <c r="L28" s="907" t="s">
        <v>305</v>
      </c>
      <c r="M28" s="908"/>
    </row>
    <row r="29" spans="1:13" ht="45" customHeight="1" x14ac:dyDescent="0.25">
      <c r="A29" s="906"/>
      <c r="B29" s="494" t="s">
        <v>308</v>
      </c>
      <c r="C29" s="476" t="s">
        <v>60</v>
      </c>
      <c r="D29" s="494" t="s">
        <v>332</v>
      </c>
      <c r="E29" s="17" t="s">
        <v>305</v>
      </c>
      <c r="F29" s="558" t="s">
        <v>308</v>
      </c>
      <c r="G29" s="476" t="s">
        <v>60</v>
      </c>
      <c r="H29" s="558" t="s">
        <v>332</v>
      </c>
      <c r="I29" s="17" t="s">
        <v>305</v>
      </c>
      <c r="J29" s="909"/>
      <c r="K29" s="910"/>
      <c r="L29" s="909"/>
      <c r="M29" s="910"/>
    </row>
    <row r="30" spans="1:13" x14ac:dyDescent="0.25">
      <c r="A30" s="349" t="s">
        <v>81</v>
      </c>
      <c r="B30" s="477">
        <f t="shared" ref="B30:J30" si="7">SUM(B31:B34)</f>
        <v>0</v>
      </c>
      <c r="C30" s="351">
        <f t="shared" si="7"/>
        <v>0</v>
      </c>
      <c r="D30" s="477">
        <f t="shared" si="7"/>
        <v>0</v>
      </c>
      <c r="E30" s="351">
        <f t="shared" si="7"/>
        <v>0</v>
      </c>
      <c r="F30" s="477">
        <f t="shared" si="7"/>
        <v>0</v>
      </c>
      <c r="G30" s="351">
        <f t="shared" si="7"/>
        <v>0</v>
      </c>
      <c r="H30" s="477">
        <f t="shared" si="7"/>
        <v>0</v>
      </c>
      <c r="I30" s="351">
        <f t="shared" si="7"/>
        <v>0</v>
      </c>
      <c r="J30" s="904">
        <f t="shared" si="7"/>
        <v>139360000</v>
      </c>
      <c r="K30" s="905"/>
      <c r="L30" s="904">
        <f>SUM(L31:L34)</f>
        <v>88485254</v>
      </c>
      <c r="M30" s="905"/>
    </row>
    <row r="31" spans="1:13" x14ac:dyDescent="0.25">
      <c r="A31" s="83" t="s">
        <v>190</v>
      </c>
      <c r="B31" s="494"/>
      <c r="C31" s="17"/>
      <c r="D31" s="20"/>
      <c r="E31" s="17"/>
      <c r="F31" s="558"/>
      <c r="G31" s="17"/>
      <c r="H31" s="558"/>
      <c r="I31" s="17"/>
      <c r="J31" s="902">
        <f>C13+G13+K13+C22+G22+K22+C31+G31</f>
        <v>19922000</v>
      </c>
      <c r="K31" s="903"/>
      <c r="L31" s="902">
        <f>E13+I13+M13+E22+I22+M22+E31+I31</f>
        <v>13989519</v>
      </c>
      <c r="M31" s="903"/>
    </row>
    <row r="32" spans="1:13" x14ac:dyDescent="0.25">
      <c r="A32" s="83" t="s">
        <v>191</v>
      </c>
      <c r="B32" s="494"/>
      <c r="C32" s="17"/>
      <c r="D32" s="20"/>
      <c r="E32" s="17"/>
      <c r="F32" s="558"/>
      <c r="G32" s="17"/>
      <c r="H32" s="558"/>
      <c r="I32" s="17"/>
      <c r="J32" s="902">
        <f t="shared" ref="J32:J34" si="8">C14+G14+K14+C23+G23+K23+C32+G32</f>
        <v>45423000</v>
      </c>
      <c r="K32" s="903"/>
      <c r="L32" s="902">
        <f t="shared" ref="L32:L34" si="9">E14+I14+M14+E23+I23+M23+E32+I32</f>
        <v>32521142</v>
      </c>
      <c r="M32" s="903"/>
    </row>
    <row r="33" spans="1:13" x14ac:dyDescent="0.25">
      <c r="A33" s="83" t="s">
        <v>192</v>
      </c>
      <c r="B33" s="494"/>
      <c r="C33" s="17"/>
      <c r="D33" s="20"/>
      <c r="E33" s="17"/>
      <c r="F33" s="558"/>
      <c r="G33" s="17"/>
      <c r="H33" s="558"/>
      <c r="I33" s="17"/>
      <c r="J33" s="902">
        <f t="shared" si="8"/>
        <v>25577000</v>
      </c>
      <c r="K33" s="903"/>
      <c r="L33" s="902">
        <f t="shared" si="9"/>
        <v>12497528</v>
      </c>
      <c r="M33" s="903"/>
    </row>
    <row r="34" spans="1:13" x14ac:dyDescent="0.25">
      <c r="A34" s="83" t="s">
        <v>193</v>
      </c>
      <c r="B34" s="494"/>
      <c r="C34" s="17"/>
      <c r="D34" s="20"/>
      <c r="E34" s="17"/>
      <c r="F34" s="558"/>
      <c r="G34" s="17"/>
      <c r="H34" s="558"/>
      <c r="I34" s="17"/>
      <c r="J34" s="902">
        <f t="shared" si="8"/>
        <v>48438000</v>
      </c>
      <c r="K34" s="903"/>
      <c r="L34" s="902">
        <f t="shared" si="9"/>
        <v>29477065</v>
      </c>
      <c r="M34" s="903"/>
    </row>
    <row r="35" spans="1:13" x14ac:dyDescent="0.25">
      <c r="G35" s="97"/>
    </row>
  </sheetData>
  <mergeCells count="45">
    <mergeCell ref="A18:A20"/>
    <mergeCell ref="B18:E18"/>
    <mergeCell ref="F18:I18"/>
    <mergeCell ref="J18:M18"/>
    <mergeCell ref="B19:C19"/>
    <mergeCell ref="D19:E19"/>
    <mergeCell ref="F19:G19"/>
    <mergeCell ref="H19:I19"/>
    <mergeCell ref="J19:K19"/>
    <mergeCell ref="A27:A29"/>
    <mergeCell ref="B27:E27"/>
    <mergeCell ref="F27:I27"/>
    <mergeCell ref="J27:M27"/>
    <mergeCell ref="B28:C28"/>
    <mergeCell ref="D28:E28"/>
    <mergeCell ref="F28:G28"/>
    <mergeCell ref="H28:I28"/>
    <mergeCell ref="J28:K29"/>
    <mergeCell ref="L28:M29"/>
    <mergeCell ref="A9:A11"/>
    <mergeCell ref="B9:E9"/>
    <mergeCell ref="F9:I9"/>
    <mergeCell ref="J9:M9"/>
    <mergeCell ref="B10:C10"/>
    <mergeCell ref="D10:E10"/>
    <mergeCell ref="F10:G10"/>
    <mergeCell ref="H10:I10"/>
    <mergeCell ref="A1:M1"/>
    <mergeCell ref="A2:M2"/>
    <mergeCell ref="A3:M3"/>
    <mergeCell ref="A5:M5"/>
    <mergeCell ref="A6:M6"/>
    <mergeCell ref="J34:K34"/>
    <mergeCell ref="L34:M34"/>
    <mergeCell ref="J10:K10"/>
    <mergeCell ref="J32:K32"/>
    <mergeCell ref="L32:M32"/>
    <mergeCell ref="J33:K33"/>
    <mergeCell ref="L33:M33"/>
    <mergeCell ref="J31:K31"/>
    <mergeCell ref="L31:M31"/>
    <mergeCell ref="L19:M19"/>
    <mergeCell ref="J30:K30"/>
    <mergeCell ref="L30:M30"/>
    <mergeCell ref="L10:M10"/>
  </mergeCells>
  <pageMargins left="1.1299999999999999" right="0.15748031496063" top="0.69" bottom="0.36" header="0.46" footer="0.31496062992126"/>
  <pageSetup paperSize="9" scale="8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192"/>
  <sheetViews>
    <sheetView view="pageBreakPreview" topLeftCell="A163" zoomScale="80" zoomScaleNormal="100" zoomScaleSheetLayoutView="80" workbookViewId="0">
      <selection activeCell="J21" sqref="J21:M21"/>
    </sheetView>
  </sheetViews>
  <sheetFormatPr defaultRowHeight="15" x14ac:dyDescent="0.25"/>
  <cols>
    <col min="1" max="1" width="30.85546875" customWidth="1"/>
    <col min="2" max="2" width="42" customWidth="1"/>
    <col min="3" max="4" width="16.140625" customWidth="1"/>
    <col min="5" max="5" width="13" customWidth="1"/>
    <col min="6" max="6" width="18.140625" style="97" customWidth="1"/>
    <col min="7" max="7" width="11.140625" customWidth="1"/>
    <col min="8" max="8" width="19.28515625" customWidth="1"/>
    <col min="9" max="9" width="11.140625" customWidth="1"/>
    <col min="10" max="10" width="17.42578125" customWidth="1"/>
  </cols>
  <sheetData>
    <row r="1" spans="1:10" x14ac:dyDescent="0.25">
      <c r="A1" s="858" t="s">
        <v>39</v>
      </c>
      <c r="B1" s="858"/>
      <c r="C1" s="858"/>
      <c r="D1" s="858"/>
      <c r="E1" s="858"/>
      <c r="F1" s="858"/>
      <c r="G1" s="858"/>
      <c r="H1" s="858"/>
      <c r="I1" s="858"/>
      <c r="J1" s="858"/>
    </row>
    <row r="2" spans="1:10" x14ac:dyDescent="0.25">
      <c r="A2" s="858" t="s">
        <v>40</v>
      </c>
      <c r="B2" s="858"/>
      <c r="C2" s="858"/>
      <c r="D2" s="858"/>
      <c r="E2" s="858"/>
      <c r="F2" s="858"/>
      <c r="G2" s="858"/>
      <c r="H2" s="858"/>
      <c r="I2" s="858"/>
      <c r="J2" s="858"/>
    </row>
    <row r="3" spans="1:10" x14ac:dyDescent="0.25">
      <c r="A3" s="415"/>
      <c r="B3" s="415"/>
      <c r="C3" s="415"/>
      <c r="D3" s="415"/>
      <c r="E3" s="415"/>
      <c r="F3" s="415"/>
      <c r="G3" s="415"/>
      <c r="H3" s="415"/>
      <c r="I3" s="415"/>
      <c r="J3" s="415"/>
    </row>
    <row r="4" spans="1:10" s="414" customFormat="1" ht="21" x14ac:dyDescent="0.35">
      <c r="A4" s="866" t="s">
        <v>318</v>
      </c>
      <c r="B4" s="866"/>
      <c r="C4" s="866"/>
      <c r="D4" s="866"/>
      <c r="E4" s="866"/>
      <c r="F4" s="866"/>
      <c r="G4" s="866"/>
      <c r="H4" s="866"/>
      <c r="I4" s="866"/>
      <c r="J4" s="866"/>
    </row>
    <row r="5" spans="1:10" s="48" customFormat="1" x14ac:dyDescent="0.25"/>
    <row r="6" spans="1:10" s="48" customFormat="1" x14ac:dyDescent="0.25">
      <c r="F6" s="91"/>
    </row>
    <row r="7" spans="1:10" s="3" customFormat="1" ht="27.75" customHeight="1" x14ac:dyDescent="0.25">
      <c r="A7" s="859" t="s">
        <v>0</v>
      </c>
      <c r="B7" s="860" t="s">
        <v>51</v>
      </c>
      <c r="C7" s="859" t="s">
        <v>4</v>
      </c>
      <c r="D7" s="862" t="s">
        <v>3</v>
      </c>
      <c r="E7" s="864" t="s">
        <v>324</v>
      </c>
      <c r="F7" s="865"/>
      <c r="G7" s="864" t="s">
        <v>315</v>
      </c>
      <c r="H7" s="865"/>
      <c r="I7" s="919" t="s">
        <v>325</v>
      </c>
      <c r="J7" s="920"/>
    </row>
    <row r="8" spans="1:10" s="3" customFormat="1" ht="21" customHeight="1" x14ac:dyDescent="0.25">
      <c r="A8" s="860"/>
      <c r="B8" s="925"/>
      <c r="C8" s="860"/>
      <c r="D8" s="922"/>
      <c r="E8" s="400" t="s">
        <v>48</v>
      </c>
      <c r="F8" s="398" t="s">
        <v>1</v>
      </c>
      <c r="G8" s="19" t="s">
        <v>48</v>
      </c>
      <c r="H8" s="19" t="s">
        <v>60</v>
      </c>
      <c r="I8" s="400" t="s">
        <v>48</v>
      </c>
      <c r="J8" s="400" t="s">
        <v>60</v>
      </c>
    </row>
    <row r="9" spans="1:10" s="12" customFormat="1" ht="20.25" customHeight="1" x14ac:dyDescent="0.25">
      <c r="A9" s="10" t="s">
        <v>14</v>
      </c>
      <c r="B9" s="10"/>
      <c r="C9" s="11"/>
      <c r="D9" s="11"/>
      <c r="E9" s="14"/>
      <c r="F9" s="131">
        <f>F11+F27+F43+F59+F75+F91+F107+F125+F141+F157+F178</f>
        <v>165611540.58000001</v>
      </c>
      <c r="G9" s="11"/>
      <c r="H9" s="131">
        <f>H11+H27+H43+H59+H75+H91+H107+H125+H141+H157+H178</f>
        <v>273682020</v>
      </c>
      <c r="I9" s="11"/>
      <c r="J9" s="131">
        <f>J11+J27+J43+J59+J75+J91+J107+J125+J141+J157+J178</f>
        <v>60136378</v>
      </c>
    </row>
    <row r="10" spans="1:10" s="8" customFormat="1" ht="8.25" customHeight="1" x14ac:dyDescent="0.25">
      <c r="A10" s="7"/>
      <c r="B10" s="7"/>
      <c r="C10" s="7"/>
      <c r="D10" s="7"/>
      <c r="E10" s="7"/>
      <c r="F10" s="93"/>
      <c r="G10" s="7"/>
      <c r="H10" s="7"/>
      <c r="I10" s="7"/>
      <c r="J10" s="7"/>
    </row>
    <row r="11" spans="1:10" s="3" customFormat="1" ht="27.75" customHeight="1" x14ac:dyDescent="0.25">
      <c r="A11" s="455" t="s">
        <v>5</v>
      </c>
      <c r="B11" s="831" t="s">
        <v>50</v>
      </c>
      <c r="C11" s="63" t="s">
        <v>21</v>
      </c>
      <c r="D11" s="124" t="s">
        <v>81</v>
      </c>
      <c r="E11" s="124">
        <f t="shared" ref="E11:J11" si="0">E12+E19</f>
        <v>14908</v>
      </c>
      <c r="F11" s="125">
        <f t="shared" si="0"/>
        <v>133820800</v>
      </c>
      <c r="G11" s="124">
        <f t="shared" si="0"/>
        <v>15287</v>
      </c>
      <c r="H11" s="125">
        <f t="shared" si="0"/>
        <v>229305000</v>
      </c>
      <c r="I11" s="124">
        <f t="shared" si="0"/>
        <v>14701</v>
      </c>
      <c r="J11" s="125">
        <f t="shared" si="0"/>
        <v>54946100</v>
      </c>
    </row>
    <row r="12" spans="1:10" s="3" customFormat="1" ht="27.75" customHeight="1" x14ac:dyDescent="0.25">
      <c r="A12" s="456"/>
      <c r="B12" s="832"/>
      <c r="C12" s="63"/>
      <c r="D12" s="70" t="s">
        <v>79</v>
      </c>
      <c r="E12" s="70">
        <f t="shared" ref="E12:J12" si="1">SUM(E13:E18)</f>
        <v>8346</v>
      </c>
      <c r="F12" s="84">
        <f t="shared" si="1"/>
        <v>72539400</v>
      </c>
      <c r="G12" s="70">
        <f t="shared" si="1"/>
        <v>8541</v>
      </c>
      <c r="H12" s="71">
        <f t="shared" si="1"/>
        <v>128115000</v>
      </c>
      <c r="I12" s="70">
        <f t="shared" si="1"/>
        <v>8231</v>
      </c>
      <c r="J12" s="71">
        <f t="shared" si="1"/>
        <v>22216400</v>
      </c>
    </row>
    <row r="13" spans="1:10" s="2" customFormat="1" ht="14.25" customHeight="1" x14ac:dyDescent="0.25">
      <c r="A13" s="191"/>
      <c r="B13" s="832"/>
      <c r="C13" s="4"/>
      <c r="D13" s="4" t="s">
        <v>42</v>
      </c>
      <c r="E13" s="426">
        <v>670</v>
      </c>
      <c r="F13" s="427">
        <v>5593700</v>
      </c>
      <c r="G13" s="4">
        <v>693</v>
      </c>
      <c r="H13" s="17">
        <v>10395000</v>
      </c>
      <c r="I13" s="437">
        <v>659</v>
      </c>
      <c r="J13" s="438">
        <f>'[1]updated may 7_FMS'!I12</f>
        <v>4147700</v>
      </c>
    </row>
    <row r="14" spans="1:10" s="2" customFormat="1" ht="14.25" customHeight="1" x14ac:dyDescent="0.25">
      <c r="A14" s="918"/>
      <c r="B14" s="832"/>
      <c r="C14" s="4"/>
      <c r="D14" s="4" t="s">
        <v>43</v>
      </c>
      <c r="E14" s="426">
        <v>2733</v>
      </c>
      <c r="F14" s="427">
        <v>24482100</v>
      </c>
      <c r="G14" s="4">
        <v>2783</v>
      </c>
      <c r="H14" s="17">
        <v>41745000</v>
      </c>
      <c r="I14" s="437">
        <v>2699</v>
      </c>
      <c r="J14" s="438">
        <f>'[1]updated may 7_FMS'!I13</f>
        <v>5088200</v>
      </c>
    </row>
    <row r="15" spans="1:10" s="2" customFormat="1" ht="14.25" customHeight="1" x14ac:dyDescent="0.25">
      <c r="A15" s="918"/>
      <c r="B15" s="832"/>
      <c r="C15" s="4"/>
      <c r="D15" s="4" t="s">
        <v>44</v>
      </c>
      <c r="E15" s="426">
        <v>1618</v>
      </c>
      <c r="F15" s="427">
        <v>14671100</v>
      </c>
      <c r="G15" s="4">
        <v>1641</v>
      </c>
      <c r="H15" s="17">
        <v>24615000</v>
      </c>
      <c r="I15" s="437">
        <v>1602</v>
      </c>
      <c r="J15" s="438">
        <f>'[1]updated may 7_FMS'!I14</f>
        <v>3257700</v>
      </c>
    </row>
    <row r="16" spans="1:10" s="2" customFormat="1" ht="14.25" customHeight="1" x14ac:dyDescent="0.25">
      <c r="A16" s="918"/>
      <c r="B16" s="832"/>
      <c r="C16" s="4"/>
      <c r="D16" s="4" t="s">
        <v>45</v>
      </c>
      <c r="E16" s="426">
        <v>1097</v>
      </c>
      <c r="F16" s="427">
        <v>8683500</v>
      </c>
      <c r="G16" s="4">
        <v>1125</v>
      </c>
      <c r="H16" s="17">
        <v>16875000</v>
      </c>
      <c r="I16" s="437">
        <v>1089</v>
      </c>
      <c r="J16" s="438">
        <f>'[1]updated may 7_FMS'!I15</f>
        <v>1963100</v>
      </c>
    </row>
    <row r="17" spans="1:10" s="2" customFormat="1" ht="14.25" customHeight="1" x14ac:dyDescent="0.25">
      <c r="A17" s="918"/>
      <c r="B17" s="832"/>
      <c r="C17" s="4"/>
      <c r="D17" s="4" t="s">
        <v>46</v>
      </c>
      <c r="E17" s="426">
        <v>1487</v>
      </c>
      <c r="F17" s="427">
        <v>11411000</v>
      </c>
      <c r="G17" s="4">
        <v>1534</v>
      </c>
      <c r="H17" s="17">
        <v>23010000</v>
      </c>
      <c r="I17" s="437">
        <v>1458</v>
      </c>
      <c r="J17" s="438">
        <f>'[1]updated may 7_FMS'!I16</f>
        <v>3349600</v>
      </c>
    </row>
    <row r="18" spans="1:10" s="2" customFormat="1" ht="14.25" customHeight="1" x14ac:dyDescent="0.25">
      <c r="A18" s="918"/>
      <c r="B18" s="832"/>
      <c r="C18" s="4"/>
      <c r="D18" s="4" t="s">
        <v>47</v>
      </c>
      <c r="E18" s="426">
        <v>741</v>
      </c>
      <c r="F18" s="427">
        <v>7698000</v>
      </c>
      <c r="G18" s="4">
        <v>765</v>
      </c>
      <c r="H18" s="17">
        <v>11475000</v>
      </c>
      <c r="I18" s="437">
        <v>724</v>
      </c>
      <c r="J18" s="438">
        <f>'[1]updated may 7_FMS'!I17</f>
        <v>4410100</v>
      </c>
    </row>
    <row r="19" spans="1:10" s="2" customFormat="1" ht="24" customHeight="1" x14ac:dyDescent="0.25">
      <c r="A19" s="457"/>
      <c r="B19" s="451"/>
      <c r="C19" s="63"/>
      <c r="D19" s="70" t="s">
        <v>80</v>
      </c>
      <c r="E19" s="70">
        <f t="shared" ref="E19:J19" si="2">SUM(E20:E25)</f>
        <v>6562</v>
      </c>
      <c r="F19" s="84">
        <f t="shared" si="2"/>
        <v>61281400</v>
      </c>
      <c r="G19" s="70">
        <f t="shared" si="2"/>
        <v>6746</v>
      </c>
      <c r="H19" s="71">
        <f t="shared" si="2"/>
        <v>101190000</v>
      </c>
      <c r="I19" s="70">
        <f t="shared" si="2"/>
        <v>6470</v>
      </c>
      <c r="J19" s="71">
        <f t="shared" si="2"/>
        <v>32729700</v>
      </c>
    </row>
    <row r="20" spans="1:10" s="2" customFormat="1" ht="14.25" customHeight="1" x14ac:dyDescent="0.25">
      <c r="A20" s="457"/>
      <c r="B20" s="451"/>
      <c r="C20" s="4"/>
      <c r="D20" s="4" t="s">
        <v>71</v>
      </c>
      <c r="E20" s="426">
        <v>1154</v>
      </c>
      <c r="F20" s="427">
        <v>11196700</v>
      </c>
      <c r="G20" s="4">
        <v>1187</v>
      </c>
      <c r="H20" s="17">
        <v>17805000</v>
      </c>
      <c r="I20" s="437">
        <v>1157</v>
      </c>
      <c r="J20" s="438">
        <f>'[1]updated may 7_FMS'!I21</f>
        <v>2604400</v>
      </c>
    </row>
    <row r="21" spans="1:10" s="2" customFormat="1" ht="14.25" customHeight="1" x14ac:dyDescent="0.25">
      <c r="A21" s="457"/>
      <c r="B21" s="451"/>
      <c r="C21" s="4"/>
      <c r="D21" s="4" t="s">
        <v>72</v>
      </c>
      <c r="E21" s="426">
        <v>928</v>
      </c>
      <c r="F21" s="427">
        <v>10510700</v>
      </c>
      <c r="G21" s="4">
        <v>938</v>
      </c>
      <c r="H21" s="17">
        <v>14070000</v>
      </c>
      <c r="I21" s="437">
        <v>908</v>
      </c>
      <c r="J21" s="438">
        <f>'[1]updated may 7_FMS'!I22</f>
        <v>10948500</v>
      </c>
    </row>
    <row r="22" spans="1:10" s="2" customFormat="1" ht="14.25" customHeight="1" x14ac:dyDescent="0.25">
      <c r="A22" s="457"/>
      <c r="B22" s="451"/>
      <c r="C22" s="4"/>
      <c r="D22" s="4" t="s">
        <v>73</v>
      </c>
      <c r="E22" s="426">
        <v>1265</v>
      </c>
      <c r="F22" s="427">
        <v>10909900</v>
      </c>
      <c r="G22" s="4">
        <v>1311</v>
      </c>
      <c r="H22" s="17">
        <v>19665000</v>
      </c>
      <c r="I22" s="426">
        <v>1255</v>
      </c>
      <c r="J22" s="438">
        <f>'[1]updated may 7_FMS'!I23</f>
        <v>6017300</v>
      </c>
    </row>
    <row r="23" spans="1:10" s="2" customFormat="1" ht="14.25" customHeight="1" x14ac:dyDescent="0.25">
      <c r="A23" s="457"/>
      <c r="B23" s="451"/>
      <c r="C23" s="4"/>
      <c r="D23" s="4" t="s">
        <v>74</v>
      </c>
      <c r="E23" s="426">
        <v>1328</v>
      </c>
      <c r="F23" s="427">
        <v>10797300</v>
      </c>
      <c r="G23" s="4">
        <v>1366</v>
      </c>
      <c r="H23" s="17">
        <v>20490000</v>
      </c>
      <c r="I23" s="426">
        <v>1301</v>
      </c>
      <c r="J23" s="438">
        <f>'[1]updated may 7_FMS'!I24</f>
        <v>4481800</v>
      </c>
    </row>
    <row r="24" spans="1:10" s="2" customFormat="1" ht="14.25" customHeight="1" x14ac:dyDescent="0.25">
      <c r="A24" s="457"/>
      <c r="B24" s="451"/>
      <c r="C24" s="4"/>
      <c r="D24" s="4" t="s">
        <v>75</v>
      </c>
      <c r="E24" s="426">
        <v>1177</v>
      </c>
      <c r="F24" s="427">
        <v>11909800</v>
      </c>
      <c r="G24" s="4">
        <v>1214</v>
      </c>
      <c r="H24" s="17">
        <v>18210000</v>
      </c>
      <c r="I24" s="426">
        <v>1156</v>
      </c>
      <c r="J24" s="438">
        <f>'[1]updated may 7_FMS'!I25</f>
        <v>5714200</v>
      </c>
    </row>
    <row r="25" spans="1:10" s="2" customFormat="1" ht="14.25" customHeight="1" x14ac:dyDescent="0.25">
      <c r="A25" s="459"/>
      <c r="B25" s="452"/>
      <c r="C25" s="4"/>
      <c r="D25" s="4" t="s">
        <v>76</v>
      </c>
      <c r="E25" s="426">
        <v>710</v>
      </c>
      <c r="F25" s="427">
        <v>5957000</v>
      </c>
      <c r="G25" s="4">
        <v>730</v>
      </c>
      <c r="H25" s="17">
        <v>10950000</v>
      </c>
      <c r="I25" s="426">
        <v>693</v>
      </c>
      <c r="J25" s="438">
        <f>'[1]updated may 7_FMS'!I26</f>
        <v>2963500</v>
      </c>
    </row>
    <row r="26" spans="1:10" s="8" customFormat="1" ht="8.25" customHeight="1" x14ac:dyDescent="0.25">
      <c r="A26" s="7"/>
      <c r="B26" s="7"/>
      <c r="C26" s="7"/>
      <c r="D26" s="7"/>
      <c r="E26" s="7"/>
      <c r="F26" s="93"/>
      <c r="G26" s="7"/>
      <c r="H26" s="7"/>
      <c r="I26" s="7"/>
      <c r="J26" s="7"/>
    </row>
    <row r="27" spans="1:10" s="9" customFormat="1" ht="27" customHeight="1" x14ac:dyDescent="0.25">
      <c r="A27" s="856" t="s">
        <v>61</v>
      </c>
      <c r="B27" s="831" t="s">
        <v>62</v>
      </c>
      <c r="C27" s="63" t="s">
        <v>21</v>
      </c>
      <c r="D27" s="124" t="s">
        <v>81</v>
      </c>
      <c r="E27" s="126">
        <f t="shared" ref="E27:J27" si="3">E28+E35</f>
        <v>187</v>
      </c>
      <c r="F27" s="127">
        <f t="shared" si="3"/>
        <v>1155400</v>
      </c>
      <c r="G27" s="126">
        <f t="shared" si="3"/>
        <v>0</v>
      </c>
      <c r="H27" s="127">
        <f t="shared" si="3"/>
        <v>0</v>
      </c>
      <c r="I27" s="126">
        <f t="shared" si="3"/>
        <v>0</v>
      </c>
      <c r="J27" s="127">
        <f t="shared" si="3"/>
        <v>0</v>
      </c>
    </row>
    <row r="28" spans="1:10" s="9" customFormat="1" ht="27" customHeight="1" x14ac:dyDescent="0.25">
      <c r="A28" s="857"/>
      <c r="B28" s="832"/>
      <c r="C28" s="63"/>
      <c r="D28" s="70" t="s">
        <v>79</v>
      </c>
      <c r="E28" s="63">
        <f t="shared" ref="E28:J28" si="4">SUM(E29:E34)</f>
        <v>50</v>
      </c>
      <c r="F28" s="78">
        <f t="shared" si="4"/>
        <v>293300</v>
      </c>
      <c r="G28" s="63">
        <f t="shared" si="4"/>
        <v>0</v>
      </c>
      <c r="H28" s="78">
        <f t="shared" si="4"/>
        <v>0</v>
      </c>
      <c r="I28" s="63">
        <f t="shared" si="4"/>
        <v>0</v>
      </c>
      <c r="J28" s="78">
        <f t="shared" si="4"/>
        <v>0</v>
      </c>
    </row>
    <row r="29" spans="1:10" s="2" customFormat="1" ht="15" customHeight="1" x14ac:dyDescent="0.25">
      <c r="A29" s="857"/>
      <c r="B29" s="832"/>
      <c r="C29" s="4"/>
      <c r="D29" s="4" t="s">
        <v>42</v>
      </c>
      <c r="E29" s="30"/>
      <c r="F29" s="37"/>
      <c r="G29" s="4"/>
      <c r="H29" s="4"/>
      <c r="I29" s="395"/>
      <c r="J29" s="395"/>
    </row>
    <row r="30" spans="1:10" s="2" customFormat="1" ht="15" customHeight="1" x14ac:dyDescent="0.25">
      <c r="A30" s="857"/>
      <c r="B30" s="832"/>
      <c r="C30" s="4"/>
      <c r="D30" s="4" t="s">
        <v>43</v>
      </c>
      <c r="E30" s="30">
        <v>19</v>
      </c>
      <c r="F30" s="37">
        <v>134600</v>
      </c>
      <c r="G30" s="4"/>
      <c r="H30" s="4"/>
      <c r="I30" s="395"/>
      <c r="J30" s="395"/>
    </row>
    <row r="31" spans="1:10" s="2" customFormat="1" ht="15" customHeight="1" x14ac:dyDescent="0.25">
      <c r="A31" s="857"/>
      <c r="B31" s="832"/>
      <c r="C31" s="4"/>
      <c r="D31" s="4" t="s">
        <v>44</v>
      </c>
      <c r="E31" s="30">
        <v>25</v>
      </c>
      <c r="F31" s="37">
        <v>128700</v>
      </c>
      <c r="G31" s="4"/>
      <c r="H31" s="4"/>
      <c r="I31" s="395"/>
      <c r="J31" s="395"/>
    </row>
    <row r="32" spans="1:10" s="2" customFormat="1" ht="15" customHeight="1" x14ac:dyDescent="0.25">
      <c r="A32" s="857"/>
      <c r="B32" s="832"/>
      <c r="C32" s="4"/>
      <c r="D32" s="4" t="s">
        <v>45</v>
      </c>
      <c r="E32" s="30"/>
      <c r="F32" s="37"/>
      <c r="G32" s="4"/>
      <c r="H32" s="4"/>
      <c r="I32" s="395"/>
      <c r="J32" s="395"/>
    </row>
    <row r="33" spans="1:10" s="2" customFormat="1" ht="15" customHeight="1" x14ac:dyDescent="0.25">
      <c r="A33" s="857"/>
      <c r="B33" s="832"/>
      <c r="C33" s="4"/>
      <c r="D33" s="4" t="s">
        <v>46</v>
      </c>
      <c r="E33" s="30"/>
      <c r="F33" s="37"/>
      <c r="G33" s="4"/>
      <c r="H33" s="4"/>
      <c r="I33" s="395"/>
      <c r="J33" s="395"/>
    </row>
    <row r="34" spans="1:10" s="2" customFormat="1" ht="15" customHeight="1" x14ac:dyDescent="0.25">
      <c r="A34" s="857"/>
      <c r="B34" s="832"/>
      <c r="C34" s="4"/>
      <c r="D34" s="4" t="s">
        <v>47</v>
      </c>
      <c r="E34" s="30">
        <v>6</v>
      </c>
      <c r="F34" s="37">
        <v>30000</v>
      </c>
      <c r="G34" s="4"/>
      <c r="H34" s="4"/>
      <c r="I34" s="395"/>
      <c r="J34" s="395"/>
    </row>
    <row r="35" spans="1:10" s="2" customFormat="1" ht="19.5" customHeight="1" x14ac:dyDescent="0.25">
      <c r="A35" s="857"/>
      <c r="B35" s="832"/>
      <c r="C35" s="67"/>
      <c r="D35" s="70" t="s">
        <v>80</v>
      </c>
      <c r="E35" s="63">
        <f t="shared" ref="E35:J35" si="5">SUM(E36:E41)</f>
        <v>137</v>
      </c>
      <c r="F35" s="78">
        <f t="shared" si="5"/>
        <v>862100</v>
      </c>
      <c r="G35" s="63">
        <f t="shared" si="5"/>
        <v>0</v>
      </c>
      <c r="H35" s="78">
        <f t="shared" si="5"/>
        <v>0</v>
      </c>
      <c r="I35" s="63">
        <f t="shared" si="5"/>
        <v>0</v>
      </c>
      <c r="J35" s="78">
        <f t="shared" si="5"/>
        <v>0</v>
      </c>
    </row>
    <row r="36" spans="1:10" s="2" customFormat="1" ht="15" customHeight="1" x14ac:dyDescent="0.25">
      <c r="A36" s="857"/>
      <c r="B36" s="832"/>
      <c r="C36" s="4"/>
      <c r="D36" s="4" t="s">
        <v>71</v>
      </c>
      <c r="E36" s="30">
        <v>9</v>
      </c>
      <c r="F36" s="37">
        <v>51600</v>
      </c>
      <c r="G36" s="4"/>
      <c r="H36" s="17"/>
      <c r="I36" s="395"/>
      <c r="J36" s="17"/>
    </row>
    <row r="37" spans="1:10" s="2" customFormat="1" ht="15" customHeight="1" x14ac:dyDescent="0.25">
      <c r="A37" s="857"/>
      <c r="B37" s="832"/>
      <c r="C37" s="4"/>
      <c r="D37" s="4" t="s">
        <v>72</v>
      </c>
      <c r="E37" s="30">
        <v>73</v>
      </c>
      <c r="F37" s="37">
        <v>358500</v>
      </c>
      <c r="G37" s="4"/>
      <c r="H37" s="17"/>
      <c r="I37" s="395"/>
      <c r="J37" s="17"/>
    </row>
    <row r="38" spans="1:10" s="2" customFormat="1" ht="15" customHeight="1" x14ac:dyDescent="0.25">
      <c r="A38" s="857"/>
      <c r="B38" s="832"/>
      <c r="C38" s="4"/>
      <c r="D38" s="4" t="s">
        <v>73</v>
      </c>
      <c r="E38" s="30">
        <v>27</v>
      </c>
      <c r="F38" s="37">
        <v>151600</v>
      </c>
      <c r="G38" s="4"/>
      <c r="H38" s="17"/>
      <c r="I38" s="395"/>
      <c r="J38" s="17"/>
    </row>
    <row r="39" spans="1:10" s="2" customFormat="1" ht="15" customHeight="1" x14ac:dyDescent="0.25">
      <c r="A39" s="857"/>
      <c r="B39" s="832"/>
      <c r="C39" s="4"/>
      <c r="D39" s="4" t="s">
        <v>74</v>
      </c>
      <c r="E39" s="30">
        <v>23</v>
      </c>
      <c r="F39" s="37">
        <v>282200</v>
      </c>
      <c r="G39" s="4"/>
      <c r="H39" s="17"/>
      <c r="I39" s="395"/>
      <c r="J39" s="17"/>
    </row>
    <row r="40" spans="1:10" s="2" customFormat="1" ht="15" customHeight="1" x14ac:dyDescent="0.25">
      <c r="A40" s="857"/>
      <c r="B40" s="832"/>
      <c r="C40" s="4"/>
      <c r="D40" s="4" t="s">
        <v>75</v>
      </c>
      <c r="E40" s="30"/>
      <c r="F40" s="37"/>
      <c r="G40" s="4"/>
      <c r="H40" s="17"/>
      <c r="I40" s="395"/>
      <c r="J40" s="17"/>
    </row>
    <row r="41" spans="1:10" s="2" customFormat="1" ht="15" customHeight="1" x14ac:dyDescent="0.25">
      <c r="A41" s="921"/>
      <c r="B41" s="833"/>
      <c r="C41" s="4"/>
      <c r="D41" s="4" t="s">
        <v>76</v>
      </c>
      <c r="E41" s="30">
        <v>5</v>
      </c>
      <c r="F41" s="37">
        <v>18200</v>
      </c>
      <c r="G41" s="4"/>
      <c r="H41" s="17"/>
      <c r="I41" s="395"/>
      <c r="J41" s="17"/>
    </row>
    <row r="42" spans="1:10" s="8" customFormat="1" ht="8.25" customHeight="1" x14ac:dyDescent="0.25">
      <c r="A42" s="122"/>
      <c r="B42" s="122"/>
      <c r="C42" s="122"/>
      <c r="D42" s="7"/>
      <c r="E42" s="7"/>
      <c r="F42" s="93"/>
      <c r="G42" s="7"/>
      <c r="H42" s="7"/>
      <c r="I42" s="7"/>
      <c r="J42" s="7"/>
    </row>
    <row r="43" spans="1:10" s="9" customFormat="1" ht="27" customHeight="1" x14ac:dyDescent="0.25">
      <c r="A43" s="460" t="s">
        <v>7</v>
      </c>
      <c r="B43" s="916" t="s">
        <v>52</v>
      </c>
      <c r="C43" s="401" t="s">
        <v>53</v>
      </c>
      <c r="D43" s="432" t="s">
        <v>81</v>
      </c>
      <c r="E43" s="128">
        <f t="shared" ref="E43:J43" si="6">E44+E51</f>
        <v>335</v>
      </c>
      <c r="F43" s="129">
        <f t="shared" si="6"/>
        <v>1925000</v>
      </c>
      <c r="G43" s="128">
        <f t="shared" si="6"/>
        <v>780</v>
      </c>
      <c r="H43" s="129">
        <f t="shared" si="6"/>
        <v>3900000</v>
      </c>
      <c r="I43" s="128">
        <f t="shared" si="6"/>
        <v>20</v>
      </c>
      <c r="J43" s="129">
        <f t="shared" si="6"/>
        <v>100000</v>
      </c>
    </row>
    <row r="44" spans="1:10" s="9" customFormat="1" ht="27" customHeight="1" x14ac:dyDescent="0.25">
      <c r="A44" s="461"/>
      <c r="B44" s="917"/>
      <c r="C44" s="402"/>
      <c r="D44" s="433" t="s">
        <v>79</v>
      </c>
      <c r="E44" s="67">
        <f t="shared" ref="E44:J44" si="7">SUM(E45:E50)</f>
        <v>170</v>
      </c>
      <c r="F44" s="69">
        <f t="shared" si="7"/>
        <v>925000</v>
      </c>
      <c r="G44" s="67">
        <f t="shared" si="7"/>
        <v>380</v>
      </c>
      <c r="H44" s="68">
        <f t="shared" si="7"/>
        <v>1900000</v>
      </c>
      <c r="I44" s="406">
        <f t="shared" si="7"/>
        <v>20</v>
      </c>
      <c r="J44" s="68">
        <f t="shared" si="7"/>
        <v>100000</v>
      </c>
    </row>
    <row r="45" spans="1:10" s="2" customFormat="1" ht="15" customHeight="1" x14ac:dyDescent="0.25">
      <c r="A45" s="428"/>
      <c r="B45" s="917"/>
      <c r="C45" s="408"/>
      <c r="D45" s="397" t="s">
        <v>42</v>
      </c>
      <c r="E45" s="30"/>
      <c r="F45" s="37"/>
      <c r="G45" s="383"/>
      <c r="H45" s="384">
        <f t="shared" ref="H45:H50" si="8">G45*5000</f>
        <v>0</v>
      </c>
      <c r="I45" s="383"/>
      <c r="J45" s="384"/>
    </row>
    <row r="46" spans="1:10" s="2" customFormat="1" ht="15" customHeight="1" x14ac:dyDescent="0.25">
      <c r="A46" s="428"/>
      <c r="B46" s="917"/>
      <c r="C46" s="408"/>
      <c r="D46" s="397" t="s">
        <v>43</v>
      </c>
      <c r="E46" s="30">
        <f>50+25</f>
        <v>75</v>
      </c>
      <c r="F46" s="37">
        <f>250000+125000</f>
        <v>375000</v>
      </c>
      <c r="G46" s="30">
        <v>200</v>
      </c>
      <c r="H46" s="37">
        <f t="shared" si="8"/>
        <v>1000000</v>
      </c>
      <c r="I46" s="383"/>
      <c r="J46" s="384"/>
    </row>
    <row r="47" spans="1:10" s="2" customFormat="1" ht="15" customHeight="1" x14ac:dyDescent="0.25">
      <c r="A47" s="428"/>
      <c r="B47" s="917"/>
      <c r="C47" s="408"/>
      <c r="D47" s="397" t="s">
        <v>44</v>
      </c>
      <c r="E47" s="30">
        <f>45+25</f>
        <v>70</v>
      </c>
      <c r="F47" s="37">
        <f>175000+250000</f>
        <v>425000</v>
      </c>
      <c r="G47" s="30">
        <v>100</v>
      </c>
      <c r="H47" s="37">
        <f t="shared" si="8"/>
        <v>500000</v>
      </c>
      <c r="I47" s="383">
        <f>20</f>
        <v>20</v>
      </c>
      <c r="J47" s="384">
        <f>100000</f>
        <v>100000</v>
      </c>
    </row>
    <row r="48" spans="1:10" s="2" customFormat="1" ht="15" customHeight="1" x14ac:dyDescent="0.25">
      <c r="A48" s="428"/>
      <c r="B48" s="917"/>
      <c r="C48" s="408"/>
      <c r="D48" s="397" t="s">
        <v>45</v>
      </c>
      <c r="E48" s="30"/>
      <c r="F48" s="37"/>
      <c r="G48" s="30"/>
      <c r="H48" s="37">
        <f t="shared" si="8"/>
        <v>0</v>
      </c>
      <c r="I48" s="383"/>
      <c r="J48" s="384"/>
    </row>
    <row r="49" spans="1:10" s="2" customFormat="1" ht="15" customHeight="1" x14ac:dyDescent="0.25">
      <c r="A49" s="428"/>
      <c r="B49" s="917"/>
      <c r="C49" s="408"/>
      <c r="D49" s="397" t="s">
        <v>46</v>
      </c>
      <c r="E49" s="30"/>
      <c r="F49" s="37"/>
      <c r="G49" s="30">
        <v>80</v>
      </c>
      <c r="H49" s="37">
        <f t="shared" si="8"/>
        <v>400000</v>
      </c>
      <c r="I49" s="383"/>
      <c r="J49" s="384"/>
    </row>
    <row r="50" spans="1:10" s="2" customFormat="1" ht="15" customHeight="1" x14ac:dyDescent="0.25">
      <c r="A50" s="428"/>
      <c r="B50" s="917"/>
      <c r="C50" s="408"/>
      <c r="D50" s="397" t="s">
        <v>47</v>
      </c>
      <c r="E50" s="30">
        <f>25</f>
        <v>25</v>
      </c>
      <c r="F50" s="37">
        <f>125000</f>
        <v>125000</v>
      </c>
      <c r="G50" s="30"/>
      <c r="H50" s="37">
        <f t="shared" si="8"/>
        <v>0</v>
      </c>
      <c r="I50" s="383"/>
      <c r="J50" s="384"/>
    </row>
    <row r="51" spans="1:10" s="2" customFormat="1" ht="15" customHeight="1" x14ac:dyDescent="0.25">
      <c r="A51" s="428"/>
      <c r="B51" s="430"/>
      <c r="C51" s="402"/>
      <c r="D51" s="433" t="s">
        <v>80</v>
      </c>
      <c r="E51" s="67">
        <f t="shared" ref="E51:J51" si="9">SUM(E52:E57)</f>
        <v>165</v>
      </c>
      <c r="F51" s="69">
        <f t="shared" si="9"/>
        <v>1000000</v>
      </c>
      <c r="G51" s="406">
        <f t="shared" si="9"/>
        <v>400</v>
      </c>
      <c r="H51" s="69">
        <f t="shared" si="9"/>
        <v>2000000</v>
      </c>
      <c r="I51" s="406">
        <f t="shared" si="9"/>
        <v>0</v>
      </c>
      <c r="J51" s="69">
        <f t="shared" si="9"/>
        <v>0</v>
      </c>
    </row>
    <row r="52" spans="1:10" s="2" customFormat="1" ht="15" customHeight="1" x14ac:dyDescent="0.25">
      <c r="A52" s="428"/>
      <c r="B52" s="430"/>
      <c r="C52" s="408"/>
      <c r="D52" s="397" t="s">
        <v>71</v>
      </c>
      <c r="E52" s="30">
        <f>35+25</f>
        <v>60</v>
      </c>
      <c r="F52" s="37">
        <f>175000+125000</f>
        <v>300000</v>
      </c>
      <c r="G52" s="30">
        <v>200</v>
      </c>
      <c r="H52" s="37">
        <f t="shared" ref="H52:H57" si="10">G52*5000</f>
        <v>1000000</v>
      </c>
      <c r="I52" s="395"/>
      <c r="J52" s="17"/>
    </row>
    <row r="53" spans="1:10" s="2" customFormat="1" ht="15" customHeight="1" x14ac:dyDescent="0.25">
      <c r="A53" s="428"/>
      <c r="B53" s="430"/>
      <c r="C53" s="408"/>
      <c r="D53" s="397" t="s">
        <v>72</v>
      </c>
      <c r="E53" s="30"/>
      <c r="F53" s="37"/>
      <c r="G53" s="30"/>
      <c r="H53" s="37">
        <f t="shared" si="10"/>
        <v>0</v>
      </c>
      <c r="I53" s="395"/>
      <c r="J53" s="17"/>
    </row>
    <row r="54" spans="1:10" s="2" customFormat="1" ht="15" customHeight="1" x14ac:dyDescent="0.25">
      <c r="A54" s="428"/>
      <c r="B54" s="430"/>
      <c r="C54" s="408"/>
      <c r="D54" s="397" t="s">
        <v>73</v>
      </c>
      <c r="E54" s="30">
        <f>45</f>
        <v>45</v>
      </c>
      <c r="F54" s="37">
        <f>250000</f>
        <v>250000</v>
      </c>
      <c r="G54" s="30">
        <v>60</v>
      </c>
      <c r="H54" s="37">
        <f t="shared" si="10"/>
        <v>300000</v>
      </c>
      <c r="I54" s="395"/>
      <c r="J54" s="17"/>
    </row>
    <row r="55" spans="1:10" s="2" customFormat="1" ht="15" customHeight="1" x14ac:dyDescent="0.25">
      <c r="A55" s="428"/>
      <c r="B55" s="430"/>
      <c r="C55" s="408"/>
      <c r="D55" s="397" t="s">
        <v>74</v>
      </c>
      <c r="E55" s="30"/>
      <c r="F55" s="37"/>
      <c r="G55" s="30">
        <v>60</v>
      </c>
      <c r="H55" s="37">
        <f t="shared" si="10"/>
        <v>300000</v>
      </c>
      <c r="I55" s="395"/>
      <c r="J55" s="17"/>
    </row>
    <row r="56" spans="1:10" s="2" customFormat="1" ht="15" customHeight="1" x14ac:dyDescent="0.25">
      <c r="A56" s="428"/>
      <c r="B56" s="430"/>
      <c r="C56" s="408"/>
      <c r="D56" s="397" t="s">
        <v>75</v>
      </c>
      <c r="E56" s="30">
        <f>30+30</f>
        <v>60</v>
      </c>
      <c r="F56" s="37">
        <f>150000+300000</f>
        <v>450000</v>
      </c>
      <c r="G56" s="30">
        <v>80</v>
      </c>
      <c r="H56" s="37">
        <f t="shared" si="10"/>
        <v>400000</v>
      </c>
      <c r="I56" s="395"/>
      <c r="J56" s="17"/>
    </row>
    <row r="57" spans="1:10" s="2" customFormat="1" ht="15" customHeight="1" x14ac:dyDescent="0.25">
      <c r="A57" s="429"/>
      <c r="B57" s="431"/>
      <c r="C57" s="409"/>
      <c r="D57" s="397" t="s">
        <v>76</v>
      </c>
      <c r="E57" s="30"/>
      <c r="F57" s="37"/>
      <c r="G57" s="30"/>
      <c r="H57" s="37">
        <f t="shared" si="10"/>
        <v>0</v>
      </c>
      <c r="I57" s="395"/>
      <c r="J57" s="17"/>
    </row>
    <row r="58" spans="1:10" s="8" customFormat="1" ht="8.25" customHeight="1" x14ac:dyDescent="0.25">
      <c r="A58" s="60"/>
      <c r="B58" s="60"/>
      <c r="C58" s="60"/>
      <c r="D58" s="7"/>
      <c r="E58" s="7"/>
      <c r="F58" s="93"/>
      <c r="G58" s="7"/>
      <c r="H58" s="7"/>
      <c r="I58" s="7"/>
      <c r="J58" s="7"/>
    </row>
    <row r="59" spans="1:10" s="9" customFormat="1" ht="20.25" customHeight="1" x14ac:dyDescent="0.25">
      <c r="A59" s="869" t="s">
        <v>6</v>
      </c>
      <c r="B59" s="831" t="s">
        <v>54</v>
      </c>
      <c r="C59" s="856" t="s">
        <v>20</v>
      </c>
      <c r="D59" s="124" t="s">
        <v>81</v>
      </c>
      <c r="E59" s="130">
        <f t="shared" ref="E59:J59" si="11">E60+E67</f>
        <v>11437</v>
      </c>
      <c r="F59" s="127">
        <f t="shared" si="11"/>
        <v>16787070</v>
      </c>
      <c r="G59" s="130">
        <f t="shared" si="11"/>
        <v>16967</v>
      </c>
      <c r="H59" s="127">
        <f t="shared" si="11"/>
        <v>26468520</v>
      </c>
      <c r="I59" s="130">
        <f t="shared" si="11"/>
        <v>3224</v>
      </c>
      <c r="J59" s="127">
        <f t="shared" si="11"/>
        <v>5068126</v>
      </c>
    </row>
    <row r="60" spans="1:10" s="9" customFormat="1" ht="20.25" customHeight="1" x14ac:dyDescent="0.25">
      <c r="A60" s="870"/>
      <c r="B60" s="832"/>
      <c r="C60" s="857"/>
      <c r="D60" s="70" t="s">
        <v>79</v>
      </c>
      <c r="E60" s="64">
        <f t="shared" ref="E60:J60" si="12">SUM(E61:E66)</f>
        <v>5502</v>
      </c>
      <c r="F60" s="78">
        <f t="shared" si="12"/>
        <v>8680570</v>
      </c>
      <c r="G60" s="64">
        <f t="shared" si="12"/>
        <v>7628</v>
      </c>
      <c r="H60" s="78">
        <f t="shared" si="12"/>
        <v>11899680</v>
      </c>
      <c r="I60" s="64">
        <f t="shared" si="12"/>
        <v>0</v>
      </c>
      <c r="J60" s="78">
        <f t="shared" si="12"/>
        <v>0</v>
      </c>
    </row>
    <row r="61" spans="1:10" s="22" customFormat="1" ht="14.25" customHeight="1" x14ac:dyDescent="0.25">
      <c r="A61" s="230"/>
      <c r="B61" s="832"/>
      <c r="C61" s="857"/>
      <c r="D61" s="4" t="s">
        <v>42</v>
      </c>
      <c r="E61" s="30">
        <v>450</v>
      </c>
      <c r="F61" s="37">
        <v>707400</v>
      </c>
      <c r="G61" s="4">
        <v>540</v>
      </c>
      <c r="H61" s="17">
        <v>842400</v>
      </c>
      <c r="I61" s="395"/>
      <c r="J61" s="17"/>
    </row>
    <row r="62" spans="1:10" s="22" customFormat="1" x14ac:dyDescent="0.25">
      <c r="A62" s="230"/>
      <c r="B62" s="832"/>
      <c r="C62" s="857"/>
      <c r="D62" s="4" t="s">
        <v>43</v>
      </c>
      <c r="E62" s="30">
        <v>1562</v>
      </c>
      <c r="F62" s="37">
        <v>2455470</v>
      </c>
      <c r="G62" s="4">
        <v>2375</v>
      </c>
      <c r="H62" s="17">
        <v>3705000</v>
      </c>
      <c r="I62" s="395"/>
      <c r="J62" s="17"/>
    </row>
    <row r="63" spans="1:10" s="22" customFormat="1" x14ac:dyDescent="0.25">
      <c r="A63" s="230"/>
      <c r="B63" s="230"/>
      <c r="C63" s="857"/>
      <c r="D63" s="4" t="s">
        <v>44</v>
      </c>
      <c r="E63" s="30">
        <v>1190</v>
      </c>
      <c r="F63" s="37">
        <v>1870650</v>
      </c>
      <c r="G63" s="4">
        <v>1928</v>
      </c>
      <c r="H63" s="17">
        <v>3007680</v>
      </c>
      <c r="I63" s="395"/>
      <c r="J63" s="17"/>
    </row>
    <row r="64" spans="1:10" s="22" customFormat="1" x14ac:dyDescent="0.25">
      <c r="A64" s="230"/>
      <c r="B64" s="230"/>
      <c r="C64" s="857"/>
      <c r="D64" s="4" t="s">
        <v>45</v>
      </c>
      <c r="E64" s="30">
        <v>612</v>
      </c>
      <c r="F64" s="37">
        <v>962070</v>
      </c>
      <c r="G64" s="4">
        <v>735</v>
      </c>
      <c r="H64" s="17">
        <v>1146600</v>
      </c>
      <c r="I64" s="395"/>
      <c r="J64" s="17"/>
    </row>
    <row r="65" spans="1:10" s="22" customFormat="1" x14ac:dyDescent="0.25">
      <c r="A65" s="230"/>
      <c r="B65" s="230"/>
      <c r="C65" s="857"/>
      <c r="D65" s="4" t="s">
        <v>46</v>
      </c>
      <c r="E65" s="30">
        <v>1048</v>
      </c>
      <c r="F65" s="37">
        <v>1678880</v>
      </c>
      <c r="G65" s="4">
        <v>1282</v>
      </c>
      <c r="H65" s="17">
        <v>1999920</v>
      </c>
      <c r="I65" s="395"/>
      <c r="J65" s="17"/>
    </row>
    <row r="66" spans="1:10" s="22" customFormat="1" x14ac:dyDescent="0.25">
      <c r="A66" s="230"/>
      <c r="B66" s="230"/>
      <c r="C66" s="857"/>
      <c r="D66" s="4" t="s">
        <v>47</v>
      </c>
      <c r="E66" s="30">
        <v>640</v>
      </c>
      <c r="F66" s="37">
        <v>1006100</v>
      </c>
      <c r="G66" s="4">
        <v>768</v>
      </c>
      <c r="H66" s="17">
        <v>1198080</v>
      </c>
      <c r="I66" s="395"/>
      <c r="J66" s="17"/>
    </row>
    <row r="67" spans="1:10" s="22" customFormat="1" x14ac:dyDescent="0.25">
      <c r="A67" s="230"/>
      <c r="B67" s="230"/>
      <c r="C67" s="453"/>
      <c r="D67" s="70" t="s">
        <v>80</v>
      </c>
      <c r="E67" s="64">
        <f t="shared" ref="E67:J67" si="13">SUM(E68:E73)</f>
        <v>5935</v>
      </c>
      <c r="F67" s="78">
        <f t="shared" si="13"/>
        <v>8106500</v>
      </c>
      <c r="G67" s="63">
        <f t="shared" si="13"/>
        <v>9339</v>
      </c>
      <c r="H67" s="65">
        <f t="shared" si="13"/>
        <v>14568840</v>
      </c>
      <c r="I67" s="63">
        <f t="shared" si="13"/>
        <v>3224</v>
      </c>
      <c r="J67" s="65">
        <f t="shared" si="13"/>
        <v>5068126</v>
      </c>
    </row>
    <row r="68" spans="1:10" s="22" customFormat="1" x14ac:dyDescent="0.25">
      <c r="A68" s="230"/>
      <c r="B68" s="230"/>
      <c r="C68" s="453"/>
      <c r="D68" s="4" t="s">
        <v>71</v>
      </c>
      <c r="E68" s="30">
        <v>789</v>
      </c>
      <c r="F68" s="37">
        <v>1240290</v>
      </c>
      <c r="G68" s="4">
        <v>947</v>
      </c>
      <c r="H68" s="17">
        <v>1477320</v>
      </c>
      <c r="I68" s="395">
        <v>786</v>
      </c>
      <c r="J68" s="17">
        <v>1235590</v>
      </c>
    </row>
    <row r="69" spans="1:10" s="22" customFormat="1" x14ac:dyDescent="0.25">
      <c r="A69" s="230"/>
      <c r="B69" s="230"/>
      <c r="C69" s="453"/>
      <c r="D69" s="4" t="s">
        <v>72</v>
      </c>
      <c r="E69" s="30">
        <v>1500</v>
      </c>
      <c r="F69" s="37">
        <v>2358000</v>
      </c>
      <c r="G69" s="4">
        <v>2350</v>
      </c>
      <c r="H69" s="17">
        <v>3666000</v>
      </c>
      <c r="I69" s="395">
        <v>1525</v>
      </c>
      <c r="J69" s="17">
        <v>2397300</v>
      </c>
    </row>
    <row r="70" spans="1:10" s="22" customFormat="1" x14ac:dyDescent="0.25">
      <c r="A70" s="230"/>
      <c r="B70" s="230"/>
      <c r="C70" s="453"/>
      <c r="D70" s="4" t="s">
        <v>73</v>
      </c>
      <c r="E70" s="30"/>
      <c r="F70" s="37"/>
      <c r="G70" s="4">
        <v>865</v>
      </c>
      <c r="H70" s="17">
        <v>1349400</v>
      </c>
      <c r="I70" s="395"/>
      <c r="J70" s="17"/>
    </row>
    <row r="71" spans="1:10" s="22" customFormat="1" x14ac:dyDescent="0.25">
      <c r="A71" s="230"/>
      <c r="B71" s="230"/>
      <c r="C71" s="453"/>
      <c r="D71" s="4" t="s">
        <v>74</v>
      </c>
      <c r="E71" s="30">
        <v>1764</v>
      </c>
      <c r="F71" s="37">
        <v>2772990</v>
      </c>
      <c r="G71" s="4">
        <v>2153</v>
      </c>
      <c r="H71" s="17">
        <v>3358680</v>
      </c>
      <c r="I71" s="395"/>
      <c r="J71" s="17"/>
    </row>
    <row r="72" spans="1:10" s="22" customFormat="1" x14ac:dyDescent="0.25">
      <c r="A72" s="230"/>
      <c r="B72" s="230"/>
      <c r="C72" s="453"/>
      <c r="D72" s="4" t="s">
        <v>75</v>
      </c>
      <c r="E72" s="30">
        <v>1112</v>
      </c>
      <c r="F72" s="37">
        <v>1735220</v>
      </c>
      <c r="G72" s="4">
        <v>1600</v>
      </c>
      <c r="H72" s="17">
        <v>2496000</v>
      </c>
      <c r="I72" s="395"/>
      <c r="J72" s="17"/>
    </row>
    <row r="73" spans="1:10" s="22" customFormat="1" x14ac:dyDescent="0.25">
      <c r="A73" s="229"/>
      <c r="B73" s="229"/>
      <c r="C73" s="33"/>
      <c r="D73" s="4" t="s">
        <v>76</v>
      </c>
      <c r="E73" s="30">
        <v>770</v>
      </c>
      <c r="F73" s="37" t="s">
        <v>209</v>
      </c>
      <c r="G73" s="4">
        <v>1424</v>
      </c>
      <c r="H73" s="17">
        <v>2221440</v>
      </c>
      <c r="I73" s="395">
        <v>913</v>
      </c>
      <c r="J73" s="17">
        <v>1435236</v>
      </c>
    </row>
    <row r="74" spans="1:10" s="8" customFormat="1" ht="8.25" customHeight="1" x14ac:dyDescent="0.25">
      <c r="A74" s="7"/>
      <c r="B74" s="7"/>
      <c r="C74" s="7"/>
      <c r="D74" s="7"/>
      <c r="E74" s="7"/>
      <c r="F74" s="93"/>
      <c r="G74" s="7"/>
      <c r="H74" s="7"/>
      <c r="I74" s="7"/>
      <c r="J74" s="7"/>
    </row>
    <row r="75" spans="1:10" s="9" customFormat="1" ht="21.75" customHeight="1" x14ac:dyDescent="0.25">
      <c r="A75" s="856" t="s">
        <v>16</v>
      </c>
      <c r="B75" s="856" t="s">
        <v>55</v>
      </c>
      <c r="C75" s="856" t="s">
        <v>19</v>
      </c>
      <c r="D75" s="124" t="s">
        <v>81</v>
      </c>
      <c r="E75" s="130">
        <f t="shared" ref="E75:J75" si="14">E76+E83</f>
        <v>1082</v>
      </c>
      <c r="F75" s="127">
        <f t="shared" si="14"/>
        <v>6492000</v>
      </c>
      <c r="G75" s="130">
        <f t="shared" si="14"/>
        <v>1082</v>
      </c>
      <c r="H75" s="127">
        <f t="shared" si="14"/>
        <v>6492000</v>
      </c>
      <c r="I75" s="130">
        <f t="shared" si="14"/>
        <v>0</v>
      </c>
      <c r="J75" s="127">
        <f t="shared" si="14"/>
        <v>0</v>
      </c>
    </row>
    <row r="76" spans="1:10" s="9" customFormat="1" ht="19.5" customHeight="1" x14ac:dyDescent="0.25">
      <c r="A76" s="857"/>
      <c r="B76" s="857"/>
      <c r="C76" s="857"/>
      <c r="D76" s="70" t="s">
        <v>79</v>
      </c>
      <c r="E76" s="64">
        <f t="shared" ref="E76:J76" si="15">SUM(E77:E82)</f>
        <v>588</v>
      </c>
      <c r="F76" s="78">
        <f t="shared" si="15"/>
        <v>3528000</v>
      </c>
      <c r="G76" s="64">
        <f t="shared" si="15"/>
        <v>588</v>
      </c>
      <c r="H76" s="78">
        <f t="shared" si="15"/>
        <v>3528000</v>
      </c>
      <c r="I76" s="64">
        <f t="shared" si="15"/>
        <v>0</v>
      </c>
      <c r="J76" s="78">
        <f t="shared" si="15"/>
        <v>0</v>
      </c>
    </row>
    <row r="77" spans="1:10" s="1" customFormat="1" ht="18" customHeight="1" x14ac:dyDescent="0.25">
      <c r="A77" s="857"/>
      <c r="B77" s="857"/>
      <c r="C77" s="857"/>
      <c r="D77" s="4" t="s">
        <v>42</v>
      </c>
      <c r="E77" s="30">
        <v>85</v>
      </c>
      <c r="F77" s="37">
        <f t="shared" ref="F77:F82" si="16">E77*500*12</f>
        <v>510000</v>
      </c>
      <c r="G77" s="30">
        <v>85</v>
      </c>
      <c r="H77" s="17">
        <f>G77*500*12</f>
        <v>510000</v>
      </c>
      <c r="I77" s="20"/>
      <c r="J77" s="17"/>
    </row>
    <row r="78" spans="1:10" s="1" customFormat="1" x14ac:dyDescent="0.25">
      <c r="A78" s="857"/>
      <c r="B78" s="857"/>
      <c r="C78" s="857"/>
      <c r="D78" s="4" t="s">
        <v>43</v>
      </c>
      <c r="E78" s="30">
        <v>93</v>
      </c>
      <c r="F78" s="37">
        <f t="shared" si="16"/>
        <v>558000</v>
      </c>
      <c r="G78" s="30">
        <v>93</v>
      </c>
      <c r="H78" s="17">
        <f t="shared" ref="H78:H89" si="17">G78*500*12</f>
        <v>558000</v>
      </c>
      <c r="I78" s="20"/>
      <c r="J78" s="17"/>
    </row>
    <row r="79" spans="1:10" s="1" customFormat="1" x14ac:dyDescent="0.25">
      <c r="A79" s="55"/>
      <c r="B79" s="55"/>
      <c r="C79" s="857"/>
      <c r="D79" s="4" t="s">
        <v>44</v>
      </c>
      <c r="E79" s="30">
        <v>81</v>
      </c>
      <c r="F79" s="37">
        <f t="shared" si="16"/>
        <v>486000</v>
      </c>
      <c r="G79" s="30">
        <v>81</v>
      </c>
      <c r="H79" s="17">
        <f t="shared" si="17"/>
        <v>486000</v>
      </c>
      <c r="I79" s="20"/>
      <c r="J79" s="17"/>
    </row>
    <row r="80" spans="1:10" s="1" customFormat="1" x14ac:dyDescent="0.25">
      <c r="A80" s="55"/>
      <c r="B80" s="55"/>
      <c r="C80" s="857"/>
      <c r="D80" s="4" t="s">
        <v>45</v>
      </c>
      <c r="E80" s="30">
        <v>75</v>
      </c>
      <c r="F80" s="37">
        <f t="shared" si="16"/>
        <v>450000</v>
      </c>
      <c r="G80" s="30">
        <v>75</v>
      </c>
      <c r="H80" s="17">
        <f t="shared" si="17"/>
        <v>450000</v>
      </c>
      <c r="I80" s="20"/>
      <c r="J80" s="17"/>
    </row>
    <row r="81" spans="1:10" s="1" customFormat="1" x14ac:dyDescent="0.25">
      <c r="A81" s="55"/>
      <c r="B81" s="55"/>
      <c r="C81" s="857"/>
      <c r="D81" s="4" t="s">
        <v>46</v>
      </c>
      <c r="E81" s="30">
        <v>114</v>
      </c>
      <c r="F81" s="37">
        <f t="shared" si="16"/>
        <v>684000</v>
      </c>
      <c r="G81" s="30">
        <v>114</v>
      </c>
      <c r="H81" s="17">
        <f t="shared" si="17"/>
        <v>684000</v>
      </c>
      <c r="I81" s="20"/>
      <c r="J81" s="17"/>
    </row>
    <row r="82" spans="1:10" s="1" customFormat="1" x14ac:dyDescent="0.25">
      <c r="A82" s="55"/>
      <c r="B82" s="55"/>
      <c r="C82" s="857"/>
      <c r="D82" s="4" t="s">
        <v>47</v>
      </c>
      <c r="E82" s="30">
        <v>140</v>
      </c>
      <c r="F82" s="37">
        <f t="shared" si="16"/>
        <v>840000</v>
      </c>
      <c r="G82" s="30">
        <v>140</v>
      </c>
      <c r="H82" s="17">
        <f t="shared" si="17"/>
        <v>840000</v>
      </c>
      <c r="I82" s="20"/>
      <c r="J82" s="17"/>
    </row>
    <row r="83" spans="1:10" s="1" customFormat="1" x14ac:dyDescent="0.25">
      <c r="A83" s="55"/>
      <c r="B83" s="55"/>
      <c r="C83" s="32"/>
      <c r="D83" s="70" t="s">
        <v>80</v>
      </c>
      <c r="E83" s="64">
        <f t="shared" ref="E83:J83" si="18">SUM(E84:E89)</f>
        <v>494</v>
      </c>
      <c r="F83" s="78">
        <f t="shared" si="18"/>
        <v>2964000</v>
      </c>
      <c r="G83" s="64">
        <f t="shared" si="18"/>
        <v>494</v>
      </c>
      <c r="H83" s="65">
        <f t="shared" si="18"/>
        <v>2964000</v>
      </c>
      <c r="I83" s="63">
        <f t="shared" si="18"/>
        <v>0</v>
      </c>
      <c r="J83" s="65">
        <f t="shared" si="18"/>
        <v>0</v>
      </c>
    </row>
    <row r="84" spans="1:10" s="1" customFormat="1" x14ac:dyDescent="0.25">
      <c r="A84" s="55"/>
      <c r="B84" s="55"/>
      <c r="C84" s="32"/>
      <c r="D84" s="4" t="s">
        <v>71</v>
      </c>
      <c r="E84" s="30">
        <v>80</v>
      </c>
      <c r="F84" s="37">
        <f t="shared" ref="F84:F89" si="19">E84*500*12</f>
        <v>480000</v>
      </c>
      <c r="G84" s="30">
        <v>80</v>
      </c>
      <c r="H84" s="17">
        <f t="shared" si="17"/>
        <v>480000</v>
      </c>
      <c r="I84" s="20"/>
      <c r="J84" s="17"/>
    </row>
    <row r="85" spans="1:10" s="1" customFormat="1" x14ac:dyDescent="0.25">
      <c r="A85" s="55"/>
      <c r="B85" s="55"/>
      <c r="C85" s="32"/>
      <c r="D85" s="4" t="s">
        <v>72</v>
      </c>
      <c r="E85" s="30">
        <v>70</v>
      </c>
      <c r="F85" s="37">
        <f t="shared" si="19"/>
        <v>420000</v>
      </c>
      <c r="G85" s="30">
        <v>70</v>
      </c>
      <c r="H85" s="17">
        <f t="shared" si="17"/>
        <v>420000</v>
      </c>
      <c r="I85" s="20"/>
      <c r="J85" s="17"/>
    </row>
    <row r="86" spans="1:10" s="1" customFormat="1" x14ac:dyDescent="0.25">
      <c r="A86" s="55"/>
      <c r="B86" s="55"/>
      <c r="C86" s="32"/>
      <c r="D86" s="4" t="s">
        <v>73</v>
      </c>
      <c r="E86" s="30">
        <v>80</v>
      </c>
      <c r="F86" s="37">
        <f t="shared" si="19"/>
        <v>480000</v>
      </c>
      <c r="G86" s="30">
        <v>80</v>
      </c>
      <c r="H86" s="17">
        <f t="shared" si="17"/>
        <v>480000</v>
      </c>
      <c r="I86" s="20"/>
      <c r="J86" s="17"/>
    </row>
    <row r="87" spans="1:10" s="1" customFormat="1" x14ac:dyDescent="0.25">
      <c r="A87" s="55"/>
      <c r="B87" s="55"/>
      <c r="C87" s="32"/>
      <c r="D87" s="4" t="s">
        <v>74</v>
      </c>
      <c r="E87" s="30">
        <v>116</v>
      </c>
      <c r="F87" s="37">
        <f t="shared" si="19"/>
        <v>696000</v>
      </c>
      <c r="G87" s="30">
        <v>116</v>
      </c>
      <c r="H87" s="17">
        <f t="shared" si="17"/>
        <v>696000</v>
      </c>
      <c r="I87" s="20"/>
      <c r="J87" s="17"/>
    </row>
    <row r="88" spans="1:10" s="1" customFormat="1" x14ac:dyDescent="0.25">
      <c r="A88" s="55"/>
      <c r="B88" s="55"/>
      <c r="C88" s="32"/>
      <c r="D88" s="4" t="s">
        <v>75</v>
      </c>
      <c r="E88" s="30">
        <v>78</v>
      </c>
      <c r="F88" s="37">
        <f t="shared" si="19"/>
        <v>468000</v>
      </c>
      <c r="G88" s="30">
        <v>78</v>
      </c>
      <c r="H88" s="17">
        <f t="shared" si="17"/>
        <v>468000</v>
      </c>
      <c r="I88" s="20"/>
      <c r="J88" s="17"/>
    </row>
    <row r="89" spans="1:10" s="1" customFormat="1" x14ac:dyDescent="0.25">
      <c r="A89" s="56"/>
      <c r="B89" s="56"/>
      <c r="C89" s="32"/>
      <c r="D89" s="4" t="s">
        <v>76</v>
      </c>
      <c r="E89" s="30">
        <v>70</v>
      </c>
      <c r="F89" s="37">
        <f t="shared" si="19"/>
        <v>420000</v>
      </c>
      <c r="G89" s="30">
        <v>70</v>
      </c>
      <c r="H89" s="17">
        <f t="shared" si="17"/>
        <v>420000</v>
      </c>
      <c r="I89" s="20"/>
      <c r="J89" s="17"/>
    </row>
    <row r="90" spans="1:10" s="8" customFormat="1" ht="8.25" customHeight="1" x14ac:dyDescent="0.25">
      <c r="A90" s="7"/>
      <c r="B90" s="7"/>
      <c r="C90" s="7"/>
      <c r="D90" s="7"/>
      <c r="E90" s="7"/>
      <c r="F90" s="93"/>
      <c r="G90" s="7"/>
      <c r="H90" s="7"/>
      <c r="I90" s="7"/>
      <c r="J90" s="7"/>
    </row>
    <row r="91" spans="1:10" s="9" customFormat="1" ht="23.25" customHeight="1" x14ac:dyDescent="0.25">
      <c r="A91" s="869" t="s">
        <v>17</v>
      </c>
      <c r="B91" s="923" t="s">
        <v>56</v>
      </c>
      <c r="C91" s="6" t="s">
        <v>18</v>
      </c>
      <c r="D91" s="124" t="s">
        <v>81</v>
      </c>
      <c r="E91" s="130">
        <f t="shared" ref="E91:J91" si="20">E92+E99</f>
        <v>31</v>
      </c>
      <c r="F91" s="127">
        <f t="shared" si="20"/>
        <v>44122</v>
      </c>
      <c r="G91" s="130">
        <f t="shared" si="20"/>
        <v>0</v>
      </c>
      <c r="H91" s="127">
        <f t="shared" si="20"/>
        <v>0</v>
      </c>
      <c r="I91" s="130">
        <f t="shared" si="20"/>
        <v>12</v>
      </c>
      <c r="J91" s="127">
        <f t="shared" si="20"/>
        <v>22152</v>
      </c>
    </row>
    <row r="92" spans="1:10" s="9" customFormat="1" ht="22.5" customHeight="1" x14ac:dyDescent="0.25">
      <c r="A92" s="870"/>
      <c r="B92" s="924"/>
      <c r="C92" s="6"/>
      <c r="D92" s="70" t="s">
        <v>79</v>
      </c>
      <c r="E92" s="64">
        <f t="shared" ref="E92:J92" si="21">SUM(E93:E98)</f>
        <v>23</v>
      </c>
      <c r="F92" s="78">
        <f t="shared" si="21"/>
        <v>33450</v>
      </c>
      <c r="G92" s="64">
        <f t="shared" si="21"/>
        <v>0</v>
      </c>
      <c r="H92" s="78">
        <f t="shared" si="21"/>
        <v>0</v>
      </c>
      <c r="I92" s="64">
        <f t="shared" si="21"/>
        <v>7</v>
      </c>
      <c r="J92" s="78">
        <f t="shared" si="21"/>
        <v>14352</v>
      </c>
    </row>
    <row r="93" spans="1:10" s="1" customFormat="1" x14ac:dyDescent="0.25">
      <c r="A93" s="55"/>
      <c r="B93" s="924"/>
      <c r="C93" s="5"/>
      <c r="D93" s="4" t="s">
        <v>42</v>
      </c>
      <c r="E93" s="44">
        <f>2</f>
        <v>2</v>
      </c>
      <c r="F93" s="41">
        <f>3000</f>
        <v>3000</v>
      </c>
      <c r="G93" s="5"/>
      <c r="H93" s="4"/>
      <c r="I93" s="5"/>
      <c r="J93" s="17"/>
    </row>
    <row r="94" spans="1:10" s="1" customFormat="1" x14ac:dyDescent="0.25">
      <c r="A94" s="55"/>
      <c r="B94" s="924"/>
      <c r="C94" s="5"/>
      <c r="D94" s="4" t="s">
        <v>43</v>
      </c>
      <c r="E94" s="44">
        <f>1+1+10+1</f>
        <v>13</v>
      </c>
      <c r="F94" s="38">
        <f>1500+2000+13250+1000</f>
        <v>17750</v>
      </c>
      <c r="G94" s="5"/>
      <c r="H94" s="4"/>
      <c r="I94" s="20">
        <f>1+1</f>
        <v>2</v>
      </c>
      <c r="J94" s="17">
        <f>3000+1352</f>
        <v>4352</v>
      </c>
    </row>
    <row r="95" spans="1:10" s="1" customFormat="1" x14ac:dyDescent="0.25">
      <c r="A95" s="55"/>
      <c r="B95" s="924"/>
      <c r="C95" s="5"/>
      <c r="D95" s="4" t="s">
        <v>44</v>
      </c>
      <c r="E95" s="44">
        <f>1+2</f>
        <v>3</v>
      </c>
      <c r="F95" s="39">
        <f>2500+2500</f>
        <v>5000</v>
      </c>
      <c r="G95" s="5"/>
      <c r="H95" s="4"/>
      <c r="I95" s="20">
        <f>2</f>
        <v>2</v>
      </c>
      <c r="J95" s="17">
        <f>6000</f>
        <v>6000</v>
      </c>
    </row>
    <row r="96" spans="1:10" s="1" customFormat="1" x14ac:dyDescent="0.25">
      <c r="A96" s="55"/>
      <c r="B96" s="924"/>
      <c r="C96" s="5"/>
      <c r="D96" s="4" t="s">
        <v>45</v>
      </c>
      <c r="E96" s="44"/>
      <c r="F96" s="39"/>
      <c r="G96" s="5"/>
      <c r="H96" s="4"/>
      <c r="I96" s="20"/>
      <c r="J96" s="17"/>
    </row>
    <row r="97" spans="1:10" s="1" customFormat="1" x14ac:dyDescent="0.25">
      <c r="A97" s="55"/>
      <c r="B97" s="924"/>
      <c r="C97" s="5"/>
      <c r="D97" s="4" t="s">
        <v>46</v>
      </c>
      <c r="E97" s="44">
        <f>1</f>
        <v>1</v>
      </c>
      <c r="F97" s="39">
        <f>200</f>
        <v>200</v>
      </c>
      <c r="G97" s="5"/>
      <c r="H97" s="4"/>
      <c r="I97" s="20">
        <f>3</f>
        <v>3</v>
      </c>
      <c r="J97" s="17">
        <f>4000</f>
        <v>4000</v>
      </c>
    </row>
    <row r="98" spans="1:10" s="1" customFormat="1" x14ac:dyDescent="0.25">
      <c r="A98" s="55"/>
      <c r="B98" s="55"/>
      <c r="C98" s="5"/>
      <c r="D98" s="4" t="s">
        <v>47</v>
      </c>
      <c r="E98" s="44">
        <f>3+1</f>
        <v>4</v>
      </c>
      <c r="F98" s="40">
        <f>6000+1500</f>
        <v>7500</v>
      </c>
      <c r="G98" s="5"/>
      <c r="H98" s="4"/>
      <c r="I98" s="20"/>
      <c r="J98" s="17"/>
    </row>
    <row r="99" spans="1:10" s="1" customFormat="1" x14ac:dyDescent="0.25">
      <c r="A99" s="55"/>
      <c r="B99" s="55"/>
      <c r="C99" s="5"/>
      <c r="D99" s="70" t="s">
        <v>80</v>
      </c>
      <c r="E99" s="64">
        <f t="shared" ref="E99:J99" si="22">SUM(E100:E105)</f>
        <v>8</v>
      </c>
      <c r="F99" s="78">
        <f t="shared" si="22"/>
        <v>10672</v>
      </c>
      <c r="G99" s="64">
        <f t="shared" si="22"/>
        <v>0</v>
      </c>
      <c r="H99" s="78">
        <f t="shared" si="22"/>
        <v>0</v>
      </c>
      <c r="I99" s="64">
        <f t="shared" si="22"/>
        <v>5</v>
      </c>
      <c r="J99" s="78">
        <f t="shared" si="22"/>
        <v>7800</v>
      </c>
    </row>
    <row r="100" spans="1:10" s="1" customFormat="1" x14ac:dyDescent="0.25">
      <c r="A100" s="55"/>
      <c r="B100" s="55"/>
      <c r="C100" s="5"/>
      <c r="D100" s="4" t="s">
        <v>71</v>
      </c>
      <c r="E100" s="44">
        <f>1+1</f>
        <v>2</v>
      </c>
      <c r="F100" s="41">
        <f>5000+172</f>
        <v>5172</v>
      </c>
      <c r="G100" s="5"/>
      <c r="H100" s="4"/>
      <c r="I100" s="5"/>
      <c r="J100" s="395"/>
    </row>
    <row r="101" spans="1:10" s="1" customFormat="1" x14ac:dyDescent="0.25">
      <c r="A101" s="55"/>
      <c r="B101" s="55"/>
      <c r="C101" s="5"/>
      <c r="D101" s="4" t="s">
        <v>72</v>
      </c>
      <c r="E101" s="44">
        <f>1</f>
        <v>1</v>
      </c>
      <c r="F101" s="38">
        <f>1500</f>
        <v>1500</v>
      </c>
      <c r="G101" s="5"/>
      <c r="H101" s="4"/>
      <c r="I101" s="20">
        <f>2</f>
        <v>2</v>
      </c>
      <c r="J101" s="17">
        <f>5000</f>
        <v>5000</v>
      </c>
    </row>
    <row r="102" spans="1:10" s="1" customFormat="1" x14ac:dyDescent="0.25">
      <c r="A102" s="55"/>
      <c r="B102" s="55"/>
      <c r="C102" s="5"/>
      <c r="D102" s="4" t="s">
        <v>73</v>
      </c>
      <c r="E102" s="44">
        <f>2+1</f>
        <v>3</v>
      </c>
      <c r="F102" s="39">
        <f>1200+1000</f>
        <v>2200</v>
      </c>
      <c r="G102" s="5"/>
      <c r="H102" s="4"/>
      <c r="I102" s="20">
        <f>2</f>
        <v>2</v>
      </c>
      <c r="J102" s="17">
        <f>2500</f>
        <v>2500</v>
      </c>
    </row>
    <row r="103" spans="1:10" s="1" customFormat="1" x14ac:dyDescent="0.25">
      <c r="A103" s="55"/>
      <c r="B103" s="55"/>
      <c r="C103" s="5"/>
      <c r="D103" s="4" t="s">
        <v>74</v>
      </c>
      <c r="E103" s="44">
        <f>1</f>
        <v>1</v>
      </c>
      <c r="F103" s="39">
        <f>300</f>
        <v>300</v>
      </c>
      <c r="G103" s="5"/>
      <c r="H103" s="4"/>
      <c r="I103" s="20">
        <f>1</f>
        <v>1</v>
      </c>
      <c r="J103" s="17">
        <f>300</f>
        <v>300</v>
      </c>
    </row>
    <row r="104" spans="1:10" s="1" customFormat="1" x14ac:dyDescent="0.25">
      <c r="A104" s="55"/>
      <c r="B104" s="55"/>
      <c r="C104" s="5"/>
      <c r="D104" s="4" t="s">
        <v>75</v>
      </c>
      <c r="E104" s="44"/>
      <c r="F104" s="39"/>
      <c r="G104" s="5"/>
      <c r="H104" s="4"/>
      <c r="I104" s="5"/>
      <c r="J104" s="17"/>
    </row>
    <row r="105" spans="1:10" s="1" customFormat="1" x14ac:dyDescent="0.25">
      <c r="A105" s="56"/>
      <c r="B105" s="56"/>
      <c r="C105" s="5"/>
      <c r="D105" s="4" t="s">
        <v>76</v>
      </c>
      <c r="E105" s="44">
        <f>1</f>
        <v>1</v>
      </c>
      <c r="F105" s="40">
        <f>1500</f>
        <v>1500</v>
      </c>
      <c r="G105" s="5"/>
      <c r="H105" s="4"/>
      <c r="I105" s="5"/>
      <c r="J105" s="395"/>
    </row>
    <row r="106" spans="1:10" s="8" customFormat="1" ht="8.25" customHeight="1" x14ac:dyDescent="0.25">
      <c r="A106" s="7"/>
      <c r="B106" s="7"/>
      <c r="C106" s="7"/>
      <c r="D106" s="7"/>
      <c r="E106" s="7"/>
      <c r="F106" s="93"/>
      <c r="G106" s="7"/>
      <c r="H106" s="7"/>
      <c r="I106" s="7"/>
      <c r="J106" s="7"/>
    </row>
    <row r="107" spans="1:10" s="9" customFormat="1" ht="24.75" customHeight="1" x14ac:dyDescent="0.25">
      <c r="A107" s="455" t="s">
        <v>23</v>
      </c>
      <c r="B107" s="831" t="s">
        <v>58</v>
      </c>
      <c r="C107" s="6" t="s">
        <v>24</v>
      </c>
      <c r="D107" s="124" t="s">
        <v>81</v>
      </c>
      <c r="E107" s="130">
        <f t="shared" ref="E107:J107" si="23">E108+E109+E117</f>
        <v>17182</v>
      </c>
      <c r="F107" s="127">
        <f t="shared" si="23"/>
        <v>4627580.58</v>
      </c>
      <c r="G107" s="130">
        <f t="shared" si="23"/>
        <v>0</v>
      </c>
      <c r="H107" s="127">
        <f t="shared" si="23"/>
        <v>0</v>
      </c>
      <c r="I107" s="130">
        <f t="shared" si="23"/>
        <v>0</v>
      </c>
      <c r="J107" s="127">
        <f t="shared" si="23"/>
        <v>0</v>
      </c>
    </row>
    <row r="108" spans="1:10" s="9" customFormat="1" ht="30" customHeight="1" x14ac:dyDescent="0.25">
      <c r="A108" s="456"/>
      <c r="B108" s="832"/>
      <c r="C108" s="6"/>
      <c r="D108" s="70" t="s">
        <v>203</v>
      </c>
      <c r="E108" s="64">
        <v>3000</v>
      </c>
      <c r="F108" s="78">
        <v>749295</v>
      </c>
      <c r="G108" s="63"/>
      <c r="H108" s="63"/>
      <c r="I108" s="63"/>
      <c r="J108" s="63"/>
    </row>
    <row r="109" spans="1:10" s="9" customFormat="1" ht="30" customHeight="1" x14ac:dyDescent="0.25">
      <c r="A109" s="456"/>
      <c r="B109" s="832"/>
      <c r="C109" s="6"/>
      <c r="D109" s="70" t="s">
        <v>79</v>
      </c>
      <c r="E109" s="64">
        <f t="shared" ref="E109:J109" si="24">SUM(E110:E116)</f>
        <v>11604</v>
      </c>
      <c r="F109" s="78">
        <f t="shared" si="24"/>
        <v>3037440</v>
      </c>
      <c r="G109" s="64">
        <f t="shared" si="24"/>
        <v>0</v>
      </c>
      <c r="H109" s="78">
        <f t="shared" si="24"/>
        <v>0</v>
      </c>
      <c r="I109" s="64">
        <f t="shared" si="24"/>
        <v>0</v>
      </c>
      <c r="J109" s="78">
        <f t="shared" si="24"/>
        <v>0</v>
      </c>
    </row>
    <row r="110" spans="1:10" s="16" customFormat="1" x14ac:dyDescent="0.25">
      <c r="A110" s="456"/>
      <c r="B110" s="832"/>
      <c r="C110" s="15"/>
      <c r="D110" s="4" t="s">
        <v>42</v>
      </c>
      <c r="E110" s="44">
        <f>800</f>
        <v>800</v>
      </c>
      <c r="F110" s="41">
        <f>200000</f>
        <v>200000</v>
      </c>
      <c r="G110" s="15"/>
      <c r="H110" s="15"/>
      <c r="I110" s="410"/>
      <c r="J110" s="410"/>
    </row>
    <row r="111" spans="1:10" s="1" customFormat="1" x14ac:dyDescent="0.25">
      <c r="A111" s="55"/>
      <c r="B111" s="832"/>
      <c r="C111" s="5"/>
      <c r="D111" s="4" t="s">
        <v>43</v>
      </c>
      <c r="E111" s="44">
        <f>4000</f>
        <v>4000</v>
      </c>
      <c r="F111" s="38">
        <f>1039394.78</f>
        <v>1039394.78</v>
      </c>
      <c r="G111" s="5"/>
      <c r="H111" s="4"/>
      <c r="I111" s="5"/>
      <c r="J111" s="395"/>
    </row>
    <row r="112" spans="1:10" s="1" customFormat="1" x14ac:dyDescent="0.25">
      <c r="A112" s="55"/>
      <c r="B112" s="832"/>
      <c r="C112" s="5"/>
      <c r="D112" s="4" t="s">
        <v>44</v>
      </c>
      <c r="E112" s="44">
        <f>1000</f>
        <v>1000</v>
      </c>
      <c r="F112" s="39">
        <f>278242.02</f>
        <v>278242.02</v>
      </c>
      <c r="G112" s="5"/>
      <c r="H112" s="4"/>
      <c r="I112" s="5"/>
      <c r="J112" s="395"/>
    </row>
    <row r="113" spans="1:10" s="1" customFormat="1" x14ac:dyDescent="0.25">
      <c r="A113" s="55"/>
      <c r="B113" s="832"/>
      <c r="C113" s="5"/>
      <c r="D113" s="4" t="s">
        <v>45</v>
      </c>
      <c r="E113" s="44">
        <f>800</f>
        <v>800</v>
      </c>
      <c r="F113" s="39">
        <f>222049</f>
        <v>222049</v>
      </c>
      <c r="G113" s="5"/>
      <c r="H113" s="4"/>
      <c r="I113" s="5"/>
      <c r="J113" s="395"/>
    </row>
    <row r="114" spans="1:10" s="1" customFormat="1" x14ac:dyDescent="0.25">
      <c r="A114" s="55"/>
      <c r="B114" s="832"/>
      <c r="C114" s="5"/>
      <c r="D114" s="4" t="s">
        <v>46</v>
      </c>
      <c r="E114" s="44">
        <f>1000</f>
        <v>1000</v>
      </c>
      <c r="F114" s="40">
        <f>263325.74</f>
        <v>263325.74</v>
      </c>
      <c r="G114" s="5"/>
      <c r="H114" s="4"/>
      <c r="I114" s="5"/>
      <c r="J114" s="395"/>
    </row>
    <row r="115" spans="1:10" s="1" customFormat="1" x14ac:dyDescent="0.25">
      <c r="A115" s="55"/>
      <c r="B115" s="832"/>
      <c r="C115" s="5"/>
      <c r="D115" s="4" t="s">
        <v>47</v>
      </c>
      <c r="E115" s="44">
        <f>1000+4</f>
        <v>1004</v>
      </c>
      <c r="F115" s="100">
        <f>290524.46+2009</f>
        <v>292533.46000000002</v>
      </c>
      <c r="G115" s="5"/>
      <c r="H115" s="4"/>
      <c r="I115" s="5"/>
      <c r="J115" s="395"/>
    </row>
    <row r="116" spans="1:10" s="1" customFormat="1" x14ac:dyDescent="0.25">
      <c r="A116" s="55"/>
      <c r="B116" s="832"/>
      <c r="C116" s="5"/>
      <c r="D116" s="27" t="s">
        <v>204</v>
      </c>
      <c r="E116" s="44">
        <v>3000</v>
      </c>
      <c r="F116" s="100">
        <f>741895</f>
        <v>741895</v>
      </c>
      <c r="G116" s="5"/>
      <c r="H116" s="4"/>
      <c r="I116" s="5"/>
      <c r="J116" s="395"/>
    </row>
    <row r="117" spans="1:10" s="1" customFormat="1" ht="38.25" customHeight="1" x14ac:dyDescent="0.25">
      <c r="A117" s="55"/>
      <c r="B117" s="832"/>
      <c r="C117" s="5"/>
      <c r="D117" s="70" t="s">
        <v>80</v>
      </c>
      <c r="E117" s="98">
        <f t="shared" ref="E117:J117" si="25">SUM(E118:E123)</f>
        <v>2578</v>
      </c>
      <c r="F117" s="99">
        <f t="shared" si="25"/>
        <v>840845.58000000007</v>
      </c>
      <c r="G117" s="98">
        <f t="shared" si="25"/>
        <v>0</v>
      </c>
      <c r="H117" s="99">
        <f t="shared" si="25"/>
        <v>0</v>
      </c>
      <c r="I117" s="98">
        <f t="shared" si="25"/>
        <v>0</v>
      </c>
      <c r="J117" s="99">
        <f t="shared" si="25"/>
        <v>0</v>
      </c>
    </row>
    <row r="118" spans="1:10" s="1" customFormat="1" ht="13.5" customHeight="1" x14ac:dyDescent="0.25">
      <c r="A118" s="55"/>
      <c r="B118" s="451"/>
      <c r="C118" s="5"/>
      <c r="D118" s="4" t="s">
        <v>71</v>
      </c>
      <c r="E118" s="44"/>
      <c r="F118" s="41"/>
      <c r="G118" s="15"/>
      <c r="H118" s="15"/>
      <c r="I118" s="410"/>
      <c r="J118" s="410"/>
    </row>
    <row r="119" spans="1:10" s="1" customFormat="1" ht="13.5" customHeight="1" x14ac:dyDescent="0.25">
      <c r="A119" s="55"/>
      <c r="B119" s="451"/>
      <c r="C119" s="5"/>
      <c r="D119" s="4" t="s">
        <v>72</v>
      </c>
      <c r="E119" s="44">
        <f>1500</f>
        <v>1500</v>
      </c>
      <c r="F119" s="41">
        <f>427348.88</f>
        <v>427348.88</v>
      </c>
      <c r="G119" s="15"/>
      <c r="H119" s="15"/>
      <c r="I119" s="410"/>
      <c r="J119" s="410"/>
    </row>
    <row r="120" spans="1:10" s="1" customFormat="1" ht="13.5" customHeight="1" x14ac:dyDescent="0.25">
      <c r="A120" s="55"/>
      <c r="B120" s="451"/>
      <c r="C120" s="5"/>
      <c r="D120" s="4" t="s">
        <v>73</v>
      </c>
      <c r="E120" s="44"/>
      <c r="F120" s="38"/>
      <c r="G120" s="5"/>
      <c r="H120" s="4"/>
      <c r="I120" s="5"/>
      <c r="J120" s="395"/>
    </row>
    <row r="121" spans="1:10" s="1" customFormat="1" ht="13.5" customHeight="1" x14ac:dyDescent="0.25">
      <c r="A121" s="55"/>
      <c r="B121" s="451"/>
      <c r="C121" s="5"/>
      <c r="D121" s="4" t="s">
        <v>74</v>
      </c>
      <c r="E121" s="44"/>
      <c r="F121" s="39"/>
      <c r="G121" s="5"/>
      <c r="H121" s="4"/>
      <c r="I121" s="5"/>
      <c r="J121" s="395"/>
    </row>
    <row r="122" spans="1:10" s="1" customFormat="1" ht="13.5" customHeight="1" x14ac:dyDescent="0.25">
      <c r="A122" s="55"/>
      <c r="B122" s="451"/>
      <c r="C122" s="5"/>
      <c r="D122" s="4" t="s">
        <v>75</v>
      </c>
      <c r="E122" s="44">
        <f>1000</f>
        <v>1000</v>
      </c>
      <c r="F122" s="39">
        <f>393797.78</f>
        <v>393797.78</v>
      </c>
      <c r="G122" s="5"/>
      <c r="H122" s="4"/>
      <c r="I122" s="5"/>
      <c r="J122" s="395"/>
    </row>
    <row r="123" spans="1:10" s="1" customFormat="1" ht="13.5" customHeight="1" x14ac:dyDescent="0.25">
      <c r="A123" s="55"/>
      <c r="B123" s="452"/>
      <c r="C123" s="5"/>
      <c r="D123" s="4" t="s">
        <v>76</v>
      </c>
      <c r="E123" s="44">
        <f>78</f>
        <v>78</v>
      </c>
      <c r="F123" s="39">
        <f>19698.92</f>
        <v>19698.919999999998</v>
      </c>
      <c r="G123" s="5"/>
      <c r="H123" s="4"/>
      <c r="I123" s="5"/>
      <c r="J123" s="395"/>
    </row>
    <row r="124" spans="1:10" s="8" customFormat="1" ht="8.25" customHeight="1" x14ac:dyDescent="0.25">
      <c r="A124" s="60"/>
      <c r="B124" s="7"/>
      <c r="C124" s="7"/>
      <c r="D124" s="7"/>
      <c r="E124" s="7"/>
      <c r="F124" s="93"/>
      <c r="G124" s="7"/>
      <c r="H124" s="7"/>
      <c r="I124" s="7"/>
      <c r="J124" s="7"/>
    </row>
    <row r="125" spans="1:10" s="9" customFormat="1" ht="19.5" customHeight="1" x14ac:dyDescent="0.25">
      <c r="A125" s="455" t="s">
        <v>63</v>
      </c>
      <c r="B125" s="831" t="s">
        <v>64</v>
      </c>
      <c r="C125" s="926" t="s">
        <v>65</v>
      </c>
      <c r="D125" s="124" t="s">
        <v>81</v>
      </c>
      <c r="E125" s="130">
        <f t="shared" ref="E125:J125" si="26">E126+E133</f>
        <v>4</v>
      </c>
      <c r="F125" s="127">
        <f t="shared" si="26"/>
        <v>40000</v>
      </c>
      <c r="G125" s="130">
        <f t="shared" si="26"/>
        <v>0</v>
      </c>
      <c r="H125" s="127">
        <f t="shared" si="26"/>
        <v>0</v>
      </c>
      <c r="I125" s="130">
        <f t="shared" si="26"/>
        <v>0</v>
      </c>
      <c r="J125" s="127">
        <f t="shared" si="26"/>
        <v>0</v>
      </c>
    </row>
    <row r="126" spans="1:10" s="9" customFormat="1" ht="16.5" customHeight="1" x14ac:dyDescent="0.25">
      <c r="A126" s="456"/>
      <c r="B126" s="832"/>
      <c r="C126" s="927"/>
      <c r="D126" s="70" t="s">
        <v>79</v>
      </c>
      <c r="E126" s="64">
        <f t="shared" ref="E126:J126" si="27">SUM(E127:E132)</f>
        <v>4</v>
      </c>
      <c r="F126" s="95">
        <f t="shared" si="27"/>
        <v>40000</v>
      </c>
      <c r="G126" s="63">
        <f t="shared" si="27"/>
        <v>0</v>
      </c>
      <c r="H126" s="78">
        <f t="shared" si="27"/>
        <v>0</v>
      </c>
      <c r="I126" s="63">
        <f t="shared" si="27"/>
        <v>0</v>
      </c>
      <c r="J126" s="78">
        <f t="shared" si="27"/>
        <v>0</v>
      </c>
    </row>
    <row r="127" spans="1:10" s="16" customFormat="1" ht="15" customHeight="1" x14ac:dyDescent="0.25">
      <c r="A127" s="870"/>
      <c r="B127" s="832"/>
      <c r="C127" s="15"/>
      <c r="D127" s="4" t="s">
        <v>42</v>
      </c>
      <c r="E127" s="44"/>
      <c r="F127" s="41"/>
      <c r="G127" s="15"/>
      <c r="H127" s="53"/>
      <c r="I127" s="410"/>
      <c r="J127" s="53"/>
    </row>
    <row r="128" spans="1:10" s="1" customFormat="1" x14ac:dyDescent="0.25">
      <c r="A128" s="870"/>
      <c r="B128" s="832"/>
      <c r="C128" s="5"/>
      <c r="D128" s="4" t="s">
        <v>43</v>
      </c>
      <c r="E128" s="44"/>
      <c r="F128" s="38"/>
      <c r="G128" s="20"/>
      <c r="H128" s="17"/>
      <c r="I128" s="20"/>
      <c r="J128" s="17"/>
    </row>
    <row r="129" spans="1:10" s="1" customFormat="1" x14ac:dyDescent="0.25">
      <c r="A129" s="55"/>
      <c r="B129" s="832"/>
      <c r="C129" s="5"/>
      <c r="D129" s="4" t="s">
        <v>44</v>
      </c>
      <c r="E129" s="44"/>
      <c r="F129" s="39"/>
      <c r="G129" s="20"/>
      <c r="H129" s="17"/>
      <c r="I129" s="20"/>
      <c r="J129" s="17"/>
    </row>
    <row r="130" spans="1:10" s="1" customFormat="1" x14ac:dyDescent="0.25">
      <c r="A130" s="55"/>
      <c r="B130" s="832"/>
      <c r="C130" s="5"/>
      <c r="D130" s="4" t="s">
        <v>45</v>
      </c>
      <c r="E130" s="44"/>
      <c r="F130" s="39"/>
      <c r="G130" s="20"/>
      <c r="H130" s="17"/>
      <c r="I130" s="20"/>
      <c r="J130" s="17"/>
    </row>
    <row r="131" spans="1:10" s="1" customFormat="1" x14ac:dyDescent="0.25">
      <c r="A131" s="55"/>
      <c r="B131" s="832"/>
      <c r="C131" s="5"/>
      <c r="D131" s="4" t="s">
        <v>46</v>
      </c>
      <c r="E131" s="44"/>
      <c r="F131" s="39"/>
      <c r="G131" s="20"/>
      <c r="H131" s="17"/>
      <c r="I131" s="20"/>
      <c r="J131" s="17"/>
    </row>
    <row r="132" spans="1:10" s="1" customFormat="1" x14ac:dyDescent="0.25">
      <c r="A132" s="55"/>
      <c r="B132" s="832"/>
      <c r="C132" s="5"/>
      <c r="D132" s="4" t="s">
        <v>47</v>
      </c>
      <c r="E132" s="44">
        <f>4</f>
        <v>4</v>
      </c>
      <c r="F132" s="62">
        <f>40000</f>
        <v>40000</v>
      </c>
      <c r="G132" s="20"/>
      <c r="H132" s="17"/>
      <c r="I132" s="20"/>
      <c r="J132" s="17"/>
    </row>
    <row r="133" spans="1:10" s="1" customFormat="1" x14ac:dyDescent="0.25">
      <c r="A133" s="55"/>
      <c r="B133" s="451"/>
      <c r="C133" s="5"/>
      <c r="D133" s="70" t="s">
        <v>80</v>
      </c>
      <c r="E133" s="64">
        <f t="shared" ref="E133:J133" si="28">SUM(E134:E139)</f>
        <v>0</v>
      </c>
      <c r="F133" s="78">
        <f t="shared" si="28"/>
        <v>0</v>
      </c>
      <c r="G133" s="63">
        <f t="shared" si="28"/>
        <v>0</v>
      </c>
      <c r="H133" s="65">
        <f t="shared" si="28"/>
        <v>0</v>
      </c>
      <c r="I133" s="63">
        <f t="shared" si="28"/>
        <v>0</v>
      </c>
      <c r="J133" s="65">
        <f t="shared" si="28"/>
        <v>0</v>
      </c>
    </row>
    <row r="134" spans="1:10" s="1" customFormat="1" x14ac:dyDescent="0.25">
      <c r="A134" s="55"/>
      <c r="B134" s="451"/>
      <c r="C134" s="5"/>
      <c r="D134" s="4" t="s">
        <v>71</v>
      </c>
      <c r="E134" s="44"/>
      <c r="F134" s="41"/>
      <c r="G134" s="15"/>
      <c r="H134" s="53"/>
      <c r="I134" s="410"/>
      <c r="J134" s="53"/>
    </row>
    <row r="135" spans="1:10" s="1" customFormat="1" x14ac:dyDescent="0.25">
      <c r="A135" s="55"/>
      <c r="B135" s="451"/>
      <c r="C135" s="5"/>
      <c r="D135" s="4" t="s">
        <v>72</v>
      </c>
      <c r="E135" s="44"/>
      <c r="F135" s="38"/>
      <c r="G135" s="20"/>
      <c r="H135" s="17"/>
      <c r="I135" s="20"/>
      <c r="J135" s="17"/>
    </row>
    <row r="136" spans="1:10" s="1" customFormat="1" x14ac:dyDescent="0.25">
      <c r="A136" s="55"/>
      <c r="B136" s="451"/>
      <c r="C136" s="5"/>
      <c r="D136" s="4" t="s">
        <v>73</v>
      </c>
      <c r="E136" s="44"/>
      <c r="F136" s="39"/>
      <c r="G136" s="20"/>
      <c r="H136" s="17"/>
      <c r="I136" s="20"/>
      <c r="J136" s="17"/>
    </row>
    <row r="137" spans="1:10" s="1" customFormat="1" x14ac:dyDescent="0.25">
      <c r="A137" s="55"/>
      <c r="B137" s="451"/>
      <c r="C137" s="5"/>
      <c r="D137" s="4" t="s">
        <v>74</v>
      </c>
      <c r="E137" s="44"/>
      <c r="F137" s="39"/>
      <c r="G137" s="20"/>
      <c r="H137" s="17"/>
      <c r="I137" s="20"/>
      <c r="J137" s="17"/>
    </row>
    <row r="138" spans="1:10" s="1" customFormat="1" x14ac:dyDescent="0.25">
      <c r="A138" s="55"/>
      <c r="B138" s="451"/>
      <c r="C138" s="5"/>
      <c r="D138" s="4" t="s">
        <v>75</v>
      </c>
      <c r="E138" s="44"/>
      <c r="F138" s="39"/>
      <c r="G138" s="20"/>
      <c r="H138" s="17"/>
      <c r="I138" s="20"/>
      <c r="J138" s="17"/>
    </row>
    <row r="139" spans="1:10" s="1" customFormat="1" x14ac:dyDescent="0.25">
      <c r="A139" s="56"/>
      <c r="B139" s="452"/>
      <c r="C139" s="5"/>
      <c r="D139" s="4" t="s">
        <v>76</v>
      </c>
      <c r="E139" s="44"/>
      <c r="F139" s="62"/>
      <c r="G139" s="20"/>
      <c r="H139" s="17"/>
      <c r="I139" s="20"/>
      <c r="J139" s="17"/>
    </row>
    <row r="140" spans="1:10" s="8" customFormat="1" ht="8.25" customHeight="1" x14ac:dyDescent="0.25">
      <c r="A140" s="60"/>
      <c r="B140" s="60"/>
      <c r="C140" s="60"/>
      <c r="D140" s="60"/>
      <c r="E140" s="60"/>
      <c r="F140" s="96"/>
      <c r="G140" s="60"/>
      <c r="H140" s="60"/>
      <c r="I140" s="60"/>
      <c r="J140" s="60"/>
    </row>
    <row r="141" spans="1:10" s="9" customFormat="1" ht="21" customHeight="1" x14ac:dyDescent="0.25">
      <c r="A141" s="455" t="s">
        <v>67</v>
      </c>
      <c r="B141" s="831" t="s">
        <v>68</v>
      </c>
      <c r="C141" s="926" t="s">
        <v>65</v>
      </c>
      <c r="D141" s="124" t="s">
        <v>81</v>
      </c>
      <c r="E141" s="130">
        <f t="shared" ref="E141:J141" si="29">E142+E149</f>
        <v>377</v>
      </c>
      <c r="F141" s="127">
        <f t="shared" si="29"/>
        <v>600460</v>
      </c>
      <c r="G141" s="130">
        <f t="shared" si="29"/>
        <v>0</v>
      </c>
      <c r="H141" s="127">
        <f t="shared" si="29"/>
        <v>0</v>
      </c>
      <c r="I141" s="130">
        <f t="shared" si="29"/>
        <v>0</v>
      </c>
      <c r="J141" s="127">
        <f t="shared" si="29"/>
        <v>0</v>
      </c>
    </row>
    <row r="142" spans="1:10" s="9" customFormat="1" ht="21" customHeight="1" x14ac:dyDescent="0.25">
      <c r="A142" s="456"/>
      <c r="B142" s="832"/>
      <c r="C142" s="927"/>
      <c r="D142" s="70" t="s">
        <v>79</v>
      </c>
      <c r="E142" s="64">
        <f t="shared" ref="E142:J142" si="30">SUM(E143:E148)</f>
        <v>377</v>
      </c>
      <c r="F142" s="78">
        <f t="shared" si="30"/>
        <v>600460</v>
      </c>
      <c r="G142" s="63">
        <f t="shared" si="30"/>
        <v>0</v>
      </c>
      <c r="H142" s="78">
        <f t="shared" si="30"/>
        <v>0</v>
      </c>
      <c r="I142" s="63">
        <f t="shared" si="30"/>
        <v>0</v>
      </c>
      <c r="J142" s="78">
        <f t="shared" si="30"/>
        <v>0</v>
      </c>
    </row>
    <row r="143" spans="1:10" s="16" customFormat="1" ht="15" customHeight="1" x14ac:dyDescent="0.25">
      <c r="A143" s="870"/>
      <c r="B143" s="832"/>
      <c r="C143" s="15"/>
      <c r="D143" s="4" t="s">
        <v>42</v>
      </c>
      <c r="E143" s="44"/>
      <c r="F143" s="41"/>
      <c r="G143" s="15"/>
      <c r="H143" s="53"/>
      <c r="I143" s="410"/>
      <c r="J143" s="53"/>
    </row>
    <row r="144" spans="1:10" s="1" customFormat="1" x14ac:dyDescent="0.25">
      <c r="A144" s="870"/>
      <c r="B144" s="832"/>
      <c r="C144" s="5"/>
      <c r="D144" s="4" t="s">
        <v>43</v>
      </c>
      <c r="E144" s="44">
        <f>150</f>
        <v>150</v>
      </c>
      <c r="F144" s="38">
        <f>37500</f>
        <v>37500</v>
      </c>
      <c r="G144" s="20"/>
      <c r="H144" s="17"/>
      <c r="I144" s="20"/>
      <c r="J144" s="17"/>
    </row>
    <row r="145" spans="1:10" s="1" customFormat="1" x14ac:dyDescent="0.25">
      <c r="A145" s="55"/>
      <c r="B145" s="832"/>
      <c r="C145" s="5"/>
      <c r="D145" s="4" t="s">
        <v>44</v>
      </c>
      <c r="E145" s="44">
        <f>227</f>
        <v>227</v>
      </c>
      <c r="F145" s="39">
        <f>562960</f>
        <v>562960</v>
      </c>
      <c r="G145" s="20"/>
      <c r="H145" s="17"/>
      <c r="I145" s="20"/>
      <c r="J145" s="17"/>
    </row>
    <row r="146" spans="1:10" s="1" customFormat="1" x14ac:dyDescent="0.25">
      <c r="A146" s="55"/>
      <c r="B146" s="832"/>
      <c r="C146" s="5"/>
      <c r="D146" s="4" t="s">
        <v>45</v>
      </c>
      <c r="E146" s="44"/>
      <c r="F146" s="39"/>
      <c r="G146" s="20"/>
      <c r="H146" s="17"/>
      <c r="I146" s="20"/>
      <c r="J146" s="17"/>
    </row>
    <row r="147" spans="1:10" s="1" customFormat="1" x14ac:dyDescent="0.25">
      <c r="A147" s="55"/>
      <c r="B147" s="832"/>
      <c r="C147" s="5"/>
      <c r="D147" s="4" t="s">
        <v>46</v>
      </c>
      <c r="E147" s="44"/>
      <c r="F147" s="39"/>
      <c r="G147" s="20"/>
      <c r="H147" s="17"/>
      <c r="I147" s="20"/>
      <c r="J147" s="17"/>
    </row>
    <row r="148" spans="1:10" s="1" customFormat="1" x14ac:dyDescent="0.25">
      <c r="A148" s="55"/>
      <c r="B148" s="832"/>
      <c r="C148" s="5"/>
      <c r="D148" s="4" t="s">
        <v>47</v>
      </c>
      <c r="E148" s="44"/>
      <c r="F148" s="62"/>
      <c r="G148" s="20"/>
      <c r="H148" s="17"/>
      <c r="I148" s="20"/>
      <c r="J148" s="17"/>
    </row>
    <row r="149" spans="1:10" s="1" customFormat="1" x14ac:dyDescent="0.25">
      <c r="A149" s="55"/>
      <c r="B149" s="451"/>
      <c r="C149" s="5"/>
      <c r="D149" s="70" t="s">
        <v>80</v>
      </c>
      <c r="E149" s="64">
        <f>SUM(E151:E155)</f>
        <v>0</v>
      </c>
      <c r="F149" s="78">
        <f>SUM(F151:F155)</f>
        <v>0</v>
      </c>
      <c r="G149" s="63">
        <f>SUM(G150:G155)</f>
        <v>0</v>
      </c>
      <c r="H149" s="65">
        <f>SUM(H150:H155)</f>
        <v>0</v>
      </c>
      <c r="I149" s="63">
        <f>SUM(I150:I155)</f>
        <v>0</v>
      </c>
      <c r="J149" s="65">
        <f>SUM(J150:J155)</f>
        <v>0</v>
      </c>
    </row>
    <row r="150" spans="1:10" s="1" customFormat="1" x14ac:dyDescent="0.25">
      <c r="A150" s="55"/>
      <c r="B150" s="451"/>
      <c r="C150" s="5"/>
      <c r="D150" s="4" t="s">
        <v>71</v>
      </c>
      <c r="E150" s="44"/>
      <c r="F150" s="41"/>
      <c r="G150" s="15"/>
      <c r="H150" s="53"/>
      <c r="I150" s="410"/>
      <c r="J150" s="53"/>
    </row>
    <row r="151" spans="1:10" s="1" customFormat="1" x14ac:dyDescent="0.25">
      <c r="A151" s="55"/>
      <c r="B151" s="451"/>
      <c r="C151" s="5"/>
      <c r="D151" s="4" t="s">
        <v>72</v>
      </c>
      <c r="E151" s="44"/>
      <c r="F151" s="38"/>
      <c r="G151" s="20"/>
      <c r="H151" s="17"/>
      <c r="I151" s="20"/>
      <c r="J151" s="17"/>
    </row>
    <row r="152" spans="1:10" s="1" customFormat="1" x14ac:dyDescent="0.25">
      <c r="A152" s="55"/>
      <c r="B152" s="451"/>
      <c r="C152" s="5"/>
      <c r="D152" s="4" t="s">
        <v>73</v>
      </c>
      <c r="E152" s="44"/>
      <c r="F152" s="39"/>
      <c r="G152" s="20"/>
      <c r="H152" s="17"/>
      <c r="I152" s="20"/>
      <c r="J152" s="17"/>
    </row>
    <row r="153" spans="1:10" s="1" customFormat="1" x14ac:dyDescent="0.25">
      <c r="A153" s="55"/>
      <c r="B153" s="451"/>
      <c r="C153" s="5"/>
      <c r="D153" s="4" t="s">
        <v>74</v>
      </c>
      <c r="E153" s="44"/>
      <c r="F153" s="39"/>
      <c r="G153" s="20"/>
      <c r="H153" s="17"/>
      <c r="I153" s="20"/>
      <c r="J153" s="17"/>
    </row>
    <row r="154" spans="1:10" s="1" customFormat="1" x14ac:dyDescent="0.25">
      <c r="A154" s="55"/>
      <c r="B154" s="451"/>
      <c r="C154" s="5"/>
      <c r="D154" s="4" t="s">
        <v>75</v>
      </c>
      <c r="E154" s="44"/>
      <c r="F154" s="39"/>
      <c r="G154" s="20"/>
      <c r="H154" s="17"/>
      <c r="I154" s="20"/>
      <c r="J154" s="17"/>
    </row>
    <row r="155" spans="1:10" s="1" customFormat="1" x14ac:dyDescent="0.25">
      <c r="A155" s="56"/>
      <c r="B155" s="452"/>
      <c r="C155" s="5"/>
      <c r="D155" s="4" t="s">
        <v>76</v>
      </c>
      <c r="E155" s="44"/>
      <c r="F155" s="62"/>
      <c r="G155" s="20"/>
      <c r="H155" s="17"/>
      <c r="I155" s="20"/>
      <c r="J155" s="17"/>
    </row>
    <row r="156" spans="1:10" s="8" customFormat="1" ht="8.25" customHeight="1" x14ac:dyDescent="0.25">
      <c r="A156" s="7"/>
      <c r="B156" s="7"/>
      <c r="C156" s="7"/>
      <c r="D156" s="7"/>
      <c r="E156" s="7"/>
      <c r="F156" s="93"/>
      <c r="G156" s="7"/>
      <c r="H156" s="7"/>
      <c r="I156" s="7"/>
      <c r="J156" s="7"/>
    </row>
    <row r="157" spans="1:10" s="9" customFormat="1" ht="30" customHeight="1" x14ac:dyDescent="0.25">
      <c r="A157" s="455" t="s">
        <v>201</v>
      </c>
      <c r="B157" s="831" t="s">
        <v>202</v>
      </c>
      <c r="C157" s="6" t="s">
        <v>24</v>
      </c>
      <c r="D157" s="124" t="s">
        <v>81</v>
      </c>
      <c r="E157" s="130">
        <f t="shared" ref="E157:J157" si="31">E158+E166</f>
        <v>48</v>
      </c>
      <c r="F157" s="127">
        <f t="shared" si="31"/>
        <v>119108</v>
      </c>
      <c r="G157" s="130">
        <f t="shared" si="31"/>
        <v>0</v>
      </c>
      <c r="H157" s="127">
        <f t="shared" si="31"/>
        <v>0</v>
      </c>
      <c r="I157" s="130">
        <f t="shared" si="31"/>
        <v>0</v>
      </c>
      <c r="J157" s="127">
        <f t="shared" si="31"/>
        <v>0</v>
      </c>
    </row>
    <row r="158" spans="1:10" s="9" customFormat="1" ht="30" customHeight="1" x14ac:dyDescent="0.25">
      <c r="A158" s="456"/>
      <c r="B158" s="832"/>
      <c r="C158" s="6"/>
      <c r="D158" s="70" t="s">
        <v>79</v>
      </c>
      <c r="E158" s="64">
        <f t="shared" ref="E158:J158" si="32">SUM(E159:E164)</f>
        <v>48</v>
      </c>
      <c r="F158" s="78">
        <f t="shared" si="32"/>
        <v>119108</v>
      </c>
      <c r="G158" s="64">
        <f t="shared" si="32"/>
        <v>0</v>
      </c>
      <c r="H158" s="78">
        <f t="shared" si="32"/>
        <v>0</v>
      </c>
      <c r="I158" s="64">
        <f t="shared" si="32"/>
        <v>0</v>
      </c>
      <c r="J158" s="78">
        <f t="shared" si="32"/>
        <v>0</v>
      </c>
    </row>
    <row r="159" spans="1:10" s="16" customFormat="1" x14ac:dyDescent="0.25">
      <c r="A159" s="456"/>
      <c r="B159" s="832"/>
      <c r="C159" s="15"/>
      <c r="D159" s="4" t="s">
        <v>42</v>
      </c>
      <c r="E159" s="44"/>
      <c r="F159" s="41"/>
      <c r="G159" s="15"/>
      <c r="H159" s="15"/>
      <c r="I159" s="410"/>
      <c r="J159" s="410"/>
    </row>
    <row r="160" spans="1:10" s="1" customFormat="1" x14ac:dyDescent="0.25">
      <c r="A160" s="462"/>
      <c r="B160" s="832"/>
      <c r="C160" s="5"/>
      <c r="D160" s="4" t="s">
        <v>43</v>
      </c>
      <c r="E160" s="44">
        <f>8</f>
        <v>8</v>
      </c>
      <c r="F160" s="38">
        <f>4438</f>
        <v>4438</v>
      </c>
      <c r="G160" s="5"/>
      <c r="H160" s="4"/>
      <c r="I160" s="5"/>
      <c r="J160" s="395"/>
    </row>
    <row r="161" spans="1:10" s="1" customFormat="1" x14ac:dyDescent="0.25">
      <c r="A161" s="462"/>
      <c r="B161" s="832"/>
      <c r="C161" s="5"/>
      <c r="D161" s="4" t="s">
        <v>44</v>
      </c>
      <c r="E161" s="44"/>
      <c r="F161" s="39"/>
      <c r="G161" s="5"/>
      <c r="H161" s="4"/>
      <c r="I161" s="5"/>
      <c r="J161" s="395"/>
    </row>
    <row r="162" spans="1:10" s="1" customFormat="1" x14ac:dyDescent="0.25">
      <c r="A162" s="462"/>
      <c r="B162" s="832"/>
      <c r="C162" s="5"/>
      <c r="D162" s="4" t="s">
        <v>45</v>
      </c>
      <c r="E162" s="44"/>
      <c r="F162" s="39"/>
      <c r="G162" s="5"/>
      <c r="H162" s="4"/>
      <c r="I162" s="5"/>
      <c r="J162" s="395"/>
    </row>
    <row r="163" spans="1:10" s="1" customFormat="1" x14ac:dyDescent="0.25">
      <c r="A163" s="462"/>
      <c r="B163" s="832"/>
      <c r="C163" s="5"/>
      <c r="D163" s="4" t="s">
        <v>46</v>
      </c>
      <c r="E163" s="44">
        <f>40</f>
        <v>40</v>
      </c>
      <c r="F163" s="39">
        <f>114670</f>
        <v>114670</v>
      </c>
      <c r="G163" s="5"/>
      <c r="H163" s="4"/>
      <c r="I163" s="5"/>
      <c r="J163" s="395"/>
    </row>
    <row r="164" spans="1:10" s="1" customFormat="1" x14ac:dyDescent="0.25">
      <c r="A164" s="462"/>
      <c r="B164" s="832"/>
      <c r="C164" s="5"/>
      <c r="D164" s="4" t="s">
        <v>47</v>
      </c>
      <c r="E164" s="44"/>
      <c r="F164" s="40"/>
      <c r="G164" s="5"/>
      <c r="H164" s="4"/>
      <c r="I164" s="5"/>
      <c r="J164" s="395"/>
    </row>
    <row r="165" spans="1:10" s="1" customFormat="1" ht="38.25" customHeight="1" x14ac:dyDescent="0.25">
      <c r="A165" s="462"/>
      <c r="B165" s="832"/>
      <c r="C165" s="5"/>
      <c r="D165" s="70" t="s">
        <v>80</v>
      </c>
      <c r="E165" s="87">
        <f t="shared" ref="E165:J165" si="33">SUM(E166:E172)</f>
        <v>0</v>
      </c>
      <c r="F165" s="88">
        <f t="shared" si="33"/>
        <v>0</v>
      </c>
      <c r="G165" s="87">
        <f t="shared" si="33"/>
        <v>0</v>
      </c>
      <c r="H165" s="88">
        <f t="shared" si="33"/>
        <v>0</v>
      </c>
      <c r="I165" s="87">
        <f t="shared" si="33"/>
        <v>0</v>
      </c>
      <c r="J165" s="88">
        <f t="shared" si="33"/>
        <v>0</v>
      </c>
    </row>
    <row r="166" spans="1:10" s="1" customFormat="1" ht="13.5" customHeight="1" x14ac:dyDescent="0.25">
      <c r="A166" s="462"/>
      <c r="B166" s="451"/>
      <c r="C166" s="5"/>
      <c r="D166" s="4" t="s">
        <v>71</v>
      </c>
      <c r="E166" s="44"/>
      <c r="F166" s="41"/>
      <c r="G166" s="15"/>
      <c r="H166" s="15"/>
      <c r="I166" s="410"/>
      <c r="J166" s="410"/>
    </row>
    <row r="167" spans="1:10" s="1" customFormat="1" ht="13.5" customHeight="1" x14ac:dyDescent="0.25">
      <c r="A167" s="462"/>
      <c r="B167" s="451"/>
      <c r="C167" s="5"/>
      <c r="D167" s="4" t="s">
        <v>72</v>
      </c>
      <c r="E167" s="44"/>
      <c r="F167" s="41"/>
      <c r="G167" s="15"/>
      <c r="H167" s="15"/>
      <c r="I167" s="410"/>
      <c r="J167" s="410"/>
    </row>
    <row r="168" spans="1:10" s="1" customFormat="1" ht="13.5" customHeight="1" x14ac:dyDescent="0.25">
      <c r="A168" s="462"/>
      <c r="B168" s="451"/>
      <c r="C168" s="5"/>
      <c r="D168" s="4" t="s">
        <v>73</v>
      </c>
      <c r="E168" s="44"/>
      <c r="F168" s="38"/>
      <c r="G168" s="5"/>
      <c r="H168" s="4"/>
      <c r="I168" s="5"/>
      <c r="J168" s="395"/>
    </row>
    <row r="169" spans="1:10" s="1" customFormat="1" ht="13.5" customHeight="1" x14ac:dyDescent="0.25">
      <c r="A169" s="462"/>
      <c r="B169" s="451"/>
      <c r="C169" s="5"/>
      <c r="D169" s="4" t="s">
        <v>74</v>
      </c>
      <c r="E169" s="44"/>
      <c r="F169" s="39"/>
      <c r="G169" s="5"/>
      <c r="H169" s="4"/>
      <c r="I169" s="5"/>
      <c r="J169" s="395"/>
    </row>
    <row r="170" spans="1:10" s="1" customFormat="1" ht="13.5" customHeight="1" x14ac:dyDescent="0.25">
      <c r="A170" s="462"/>
      <c r="B170" s="451"/>
      <c r="C170" s="5"/>
      <c r="D170" s="4" t="s">
        <v>75</v>
      </c>
      <c r="E170" s="44"/>
      <c r="F170" s="39"/>
      <c r="G170" s="5"/>
      <c r="H170" s="4"/>
      <c r="I170" s="5"/>
      <c r="J170" s="395"/>
    </row>
    <row r="171" spans="1:10" s="1" customFormat="1" ht="13.5" customHeight="1" x14ac:dyDescent="0.25">
      <c r="A171" s="462"/>
      <c r="B171" s="451"/>
      <c r="C171" s="5"/>
      <c r="D171" s="4" t="s">
        <v>76</v>
      </c>
      <c r="E171" s="44"/>
      <c r="F171" s="39"/>
      <c r="G171" s="5"/>
      <c r="H171" s="4"/>
      <c r="I171" s="5"/>
      <c r="J171" s="395"/>
    </row>
    <row r="172" spans="1:10" s="1" customFormat="1" ht="13.5" customHeight="1" x14ac:dyDescent="0.25">
      <c r="A172" s="463"/>
      <c r="B172" s="452"/>
      <c r="C172" s="5"/>
      <c r="D172" s="4" t="s">
        <v>76</v>
      </c>
      <c r="E172" s="44"/>
      <c r="F172" s="40"/>
      <c r="G172" s="5"/>
      <c r="H172" s="4"/>
      <c r="I172" s="5"/>
      <c r="J172" s="395"/>
    </row>
    <row r="173" spans="1:10" s="8" customFormat="1" ht="8.25" customHeight="1" x14ac:dyDescent="0.25">
      <c r="A173" s="122"/>
      <c r="B173" s="122"/>
      <c r="C173" s="122"/>
      <c r="D173" s="122"/>
      <c r="E173" s="122"/>
      <c r="F173" s="173"/>
      <c r="G173" s="122"/>
      <c r="H173" s="122"/>
      <c r="I173" s="122"/>
      <c r="J173" s="122"/>
    </row>
    <row r="174" spans="1:10" s="123" customFormat="1" ht="8.25" customHeight="1" x14ac:dyDescent="0.25">
      <c r="F174" s="174"/>
    </row>
    <row r="175" spans="1:10" s="123" customFormat="1" ht="8.25" customHeight="1" x14ac:dyDescent="0.25">
      <c r="F175" s="174"/>
    </row>
    <row r="176" spans="1:10" s="379" customFormat="1" ht="8.25" customHeight="1" x14ac:dyDescent="0.25">
      <c r="A176" s="928" t="s">
        <v>0</v>
      </c>
      <c r="B176" s="869" t="s">
        <v>51</v>
      </c>
      <c r="C176" s="929"/>
      <c r="D176" s="929" t="s">
        <v>3</v>
      </c>
      <c r="E176" s="860" t="s">
        <v>253</v>
      </c>
      <c r="F176" s="859" t="s">
        <v>254</v>
      </c>
      <c r="G176" s="860" t="s">
        <v>253</v>
      </c>
      <c r="H176" s="859" t="s">
        <v>254</v>
      </c>
      <c r="I176" s="860" t="s">
        <v>253</v>
      </c>
      <c r="J176" s="859" t="s">
        <v>254</v>
      </c>
    </row>
    <row r="177" spans="1:10" s="379" customFormat="1" ht="18" customHeight="1" x14ac:dyDescent="0.25">
      <c r="A177" s="928"/>
      <c r="B177" s="873"/>
      <c r="C177" s="930"/>
      <c r="D177" s="930"/>
      <c r="E177" s="861"/>
      <c r="F177" s="859"/>
      <c r="G177" s="861"/>
      <c r="H177" s="859"/>
      <c r="I177" s="861"/>
      <c r="J177" s="859"/>
    </row>
    <row r="178" spans="1:10" s="379" customFormat="1" ht="22.5" customHeight="1" x14ac:dyDescent="0.25">
      <c r="A178" s="869" t="s">
        <v>317</v>
      </c>
      <c r="B178" s="867" t="s">
        <v>251</v>
      </c>
      <c r="C178" s="255"/>
      <c r="D178" s="255" t="s">
        <v>79</v>
      </c>
      <c r="E178" s="380"/>
      <c r="F178" s="436"/>
      <c r="G178" s="224">
        <f>SUM(G181:G184)</f>
        <v>16</v>
      </c>
      <c r="H178" s="84">
        <f>SUM(H181:H184)</f>
        <v>7516500</v>
      </c>
      <c r="I178" s="380"/>
      <c r="J178" s="436"/>
    </row>
    <row r="179" spans="1:10" s="379" customFormat="1" ht="22.5" customHeight="1" x14ac:dyDescent="0.25">
      <c r="A179" s="870"/>
      <c r="B179" s="868"/>
      <c r="C179" s="255"/>
      <c r="D179" s="465" t="s">
        <v>42</v>
      </c>
      <c r="E179" s="380"/>
      <c r="F179" s="436"/>
      <c r="G179" s="255"/>
      <c r="H179" s="488"/>
      <c r="I179" s="380"/>
      <c r="J179" s="436"/>
    </row>
    <row r="180" spans="1:10" s="379" customFormat="1" ht="22.5" customHeight="1" x14ac:dyDescent="0.25">
      <c r="A180" s="870"/>
      <c r="B180" s="868"/>
      <c r="C180" s="255"/>
      <c r="D180" s="465" t="s">
        <v>43</v>
      </c>
      <c r="E180" s="380"/>
      <c r="F180" s="436"/>
      <c r="G180" s="255"/>
      <c r="H180" s="488"/>
      <c r="I180" s="380"/>
      <c r="J180" s="436"/>
    </row>
    <row r="181" spans="1:10" s="379" customFormat="1" ht="22.5" customHeight="1" x14ac:dyDescent="0.25">
      <c r="A181" s="870"/>
      <c r="B181" s="868"/>
      <c r="C181" s="410"/>
      <c r="D181" s="410" t="s">
        <v>44</v>
      </c>
      <c r="E181" s="380"/>
      <c r="F181" s="436"/>
      <c r="G181" s="30">
        <v>1</v>
      </c>
      <c r="H181" s="37">
        <v>2000000</v>
      </c>
      <c r="I181" s="380"/>
      <c r="J181" s="436"/>
    </row>
    <row r="182" spans="1:10" s="379" customFormat="1" ht="22.5" customHeight="1" x14ac:dyDescent="0.25">
      <c r="A182" s="870"/>
      <c r="B182" s="868"/>
      <c r="C182" s="410"/>
      <c r="D182" s="410" t="s">
        <v>45</v>
      </c>
      <c r="E182" s="380"/>
      <c r="F182" s="436"/>
      <c r="G182" s="30">
        <v>8</v>
      </c>
      <c r="H182" s="37">
        <v>1530000</v>
      </c>
      <c r="I182" s="380"/>
      <c r="J182" s="436"/>
    </row>
    <row r="183" spans="1:10" s="379" customFormat="1" ht="22.5" customHeight="1" x14ac:dyDescent="0.25">
      <c r="A183" s="870"/>
      <c r="B183" s="868"/>
      <c r="C183" s="466"/>
      <c r="D183" s="434" t="s">
        <v>46</v>
      </c>
      <c r="E183" s="380"/>
      <c r="F183" s="436"/>
      <c r="G183" s="233">
        <v>7</v>
      </c>
      <c r="H183" s="234">
        <v>3986500</v>
      </c>
      <c r="I183" s="380"/>
      <c r="J183" s="436"/>
    </row>
    <row r="184" spans="1:10" s="379" customFormat="1" ht="22.5" customHeight="1" x14ac:dyDescent="0.25">
      <c r="A184" s="873"/>
      <c r="B184" s="874"/>
      <c r="C184" s="434"/>
      <c r="D184" s="434" t="s">
        <v>47</v>
      </c>
      <c r="E184" s="380"/>
      <c r="F184" s="436"/>
      <c r="G184" s="233"/>
      <c r="H184" s="234"/>
      <c r="I184" s="380"/>
      <c r="J184" s="436"/>
    </row>
    <row r="185" spans="1:10" s="379" customFormat="1" ht="8.25" customHeight="1" x14ac:dyDescent="0.25">
      <c r="A185" s="123"/>
      <c r="B185" s="123"/>
      <c r="C185" s="123"/>
      <c r="D185" s="123"/>
      <c r="E185" s="123"/>
      <c r="F185" s="174"/>
      <c r="G185" s="123"/>
      <c r="H185" s="123"/>
      <c r="I185" s="123"/>
      <c r="J185" s="123"/>
    </row>
    <row r="186" spans="1:10" s="379" customFormat="1" ht="8.25" customHeight="1" x14ac:dyDescent="0.25">
      <c r="A186" s="123"/>
      <c r="B186" s="123"/>
      <c r="C186" s="123"/>
      <c r="D186" s="123"/>
      <c r="E186" s="123"/>
      <c r="F186" s="174"/>
      <c r="G186" s="123"/>
      <c r="H186" s="123"/>
      <c r="I186" s="123"/>
      <c r="J186" s="123"/>
    </row>
    <row r="187" spans="1:10" s="435" customFormat="1" x14ac:dyDescent="0.25">
      <c r="A187" s="435" t="s">
        <v>26</v>
      </c>
      <c r="B187" s="435" t="s">
        <v>28</v>
      </c>
      <c r="D187" s="435" t="s">
        <v>31</v>
      </c>
    </row>
    <row r="188" spans="1:10" x14ac:dyDescent="0.25">
      <c r="F188"/>
    </row>
    <row r="189" spans="1:10" x14ac:dyDescent="0.25">
      <c r="F189"/>
    </row>
    <row r="190" spans="1:10" x14ac:dyDescent="0.25">
      <c r="F190"/>
    </row>
    <row r="191" spans="1:10" x14ac:dyDescent="0.25">
      <c r="A191" t="s">
        <v>27</v>
      </c>
      <c r="B191" t="s">
        <v>29</v>
      </c>
      <c r="D191" t="s">
        <v>32</v>
      </c>
      <c r="F191"/>
    </row>
    <row r="192" spans="1:10" x14ac:dyDescent="0.25">
      <c r="A192" t="s">
        <v>223</v>
      </c>
      <c r="B192" t="s">
        <v>30</v>
      </c>
      <c r="D192" t="s">
        <v>33</v>
      </c>
      <c r="F192"/>
    </row>
  </sheetData>
  <mergeCells count="43">
    <mergeCell ref="B178:B184"/>
    <mergeCell ref="A176:A177"/>
    <mergeCell ref="A178:A184"/>
    <mergeCell ref="G176:G177"/>
    <mergeCell ref="E176:E177"/>
    <mergeCell ref="F176:F177"/>
    <mergeCell ref="C176:C177"/>
    <mergeCell ref="B176:B177"/>
    <mergeCell ref="D176:D177"/>
    <mergeCell ref="B7:B8"/>
    <mergeCell ref="B11:B18"/>
    <mergeCell ref="C125:C126"/>
    <mergeCell ref="C141:C142"/>
    <mergeCell ref="C75:C82"/>
    <mergeCell ref="H176:H177"/>
    <mergeCell ref="I176:I177"/>
    <mergeCell ref="J176:J177"/>
    <mergeCell ref="B75:B78"/>
    <mergeCell ref="A127:A128"/>
    <mergeCell ref="A143:A144"/>
    <mergeCell ref="A91:A92"/>
    <mergeCell ref="B107:B117"/>
    <mergeCell ref="B91:B97"/>
    <mergeCell ref="B125:B132"/>
    <mergeCell ref="B141:B148"/>
    <mergeCell ref="A75:A78"/>
    <mergeCell ref="B157:B165"/>
    <mergeCell ref="A1:J1"/>
    <mergeCell ref="A2:J2"/>
    <mergeCell ref="A4:J4"/>
    <mergeCell ref="B43:B50"/>
    <mergeCell ref="B59:B62"/>
    <mergeCell ref="C59:C66"/>
    <mergeCell ref="G7:H7"/>
    <mergeCell ref="A14:A18"/>
    <mergeCell ref="A7:A8"/>
    <mergeCell ref="C7:C8"/>
    <mergeCell ref="I7:J7"/>
    <mergeCell ref="E7:F7"/>
    <mergeCell ref="B27:B41"/>
    <mergeCell ref="A27:A41"/>
    <mergeCell ref="A59:A60"/>
    <mergeCell ref="D7:D8"/>
  </mergeCells>
  <printOptions horizontalCentered="1"/>
  <pageMargins left="0.38" right="1.28" top="0.68" bottom="0.69" header="0.3" footer="0.4"/>
  <pageSetup paperSize="5" scale="80" orientation="landscape" verticalDpi="300" r:id="rId1"/>
  <headerFooter>
    <oddFooter>&amp;LProvince of Bataan
&amp;CPage &amp;P of &amp;N</oddFooter>
  </headerFooter>
  <rowBreaks count="6" manualBreakCount="6">
    <brk id="26" max="9" man="1"/>
    <brk id="42" max="9" man="1"/>
    <brk id="74" max="9" man="1"/>
    <brk id="106" max="9" man="1"/>
    <brk id="140" max="9" man="1"/>
    <brk id="175" max="9"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4"/>
  <sheetViews>
    <sheetView view="pageBreakPreview" zoomScale="70" zoomScaleNormal="80" zoomScaleSheetLayoutView="70" workbookViewId="0">
      <selection activeCell="M38" sqref="M38"/>
    </sheetView>
  </sheetViews>
  <sheetFormatPr defaultRowHeight="15" x14ac:dyDescent="0.25"/>
  <cols>
    <col min="1" max="1" width="15.140625" customWidth="1"/>
    <col min="2" max="2" width="13.28515625" customWidth="1"/>
    <col min="3" max="3" width="21.28515625" style="97" customWidth="1"/>
    <col min="4" max="4" width="12" style="97" customWidth="1"/>
    <col min="5" max="5" width="21.85546875" style="97" customWidth="1"/>
    <col min="6" max="6" width="9.5703125" customWidth="1"/>
    <col min="7" max="7" width="20.140625" customWidth="1"/>
    <col min="8" max="8" width="11" customWidth="1"/>
    <col min="9" max="9" width="19.140625" style="97" customWidth="1"/>
    <col min="10" max="10" width="11.5703125" customWidth="1"/>
    <col min="11" max="11" width="20.42578125" style="97" customWidth="1"/>
    <col min="12" max="12" width="11.42578125" customWidth="1"/>
    <col min="13" max="13" width="21"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4" spans="1:13" ht="7.5" customHeight="1" x14ac:dyDescent="0.25"/>
    <row r="5" spans="1:13" ht="18" x14ac:dyDescent="0.35">
      <c r="A5" s="911" t="s">
        <v>368</v>
      </c>
      <c r="B5" s="911"/>
      <c r="C5" s="911"/>
      <c r="D5" s="911"/>
      <c r="E5" s="911"/>
      <c r="F5" s="911"/>
      <c r="G5" s="911"/>
      <c r="H5" s="911"/>
      <c r="I5" s="911"/>
      <c r="J5" s="911"/>
      <c r="K5" s="911"/>
      <c r="L5" s="911"/>
      <c r="M5" s="911"/>
    </row>
    <row r="6" spans="1:13" ht="18" x14ac:dyDescent="0.35">
      <c r="A6" s="911" t="str">
        <f>Summary2015!$A$6</f>
        <v>JANUARY TO DECEMBER 2015</v>
      </c>
      <c r="B6" s="911"/>
      <c r="C6" s="911"/>
      <c r="D6" s="911"/>
      <c r="E6" s="911"/>
      <c r="F6" s="911"/>
      <c r="G6" s="911"/>
      <c r="H6" s="911"/>
      <c r="I6" s="911"/>
      <c r="J6" s="911"/>
      <c r="K6" s="911"/>
      <c r="L6" s="911"/>
      <c r="M6" s="911"/>
    </row>
    <row r="7" spans="1:13" ht="11.25" customHeight="1" x14ac:dyDescent="0.35">
      <c r="A7" s="496"/>
      <c r="B7" s="496"/>
      <c r="C7" s="496"/>
      <c r="D7" s="496"/>
      <c r="E7" s="496"/>
      <c r="F7" s="496"/>
      <c r="G7" s="496"/>
      <c r="H7" s="496"/>
      <c r="I7" s="496"/>
      <c r="J7" s="496"/>
      <c r="K7" s="496"/>
      <c r="L7" s="496"/>
      <c r="M7" s="496"/>
    </row>
    <row r="8" spans="1:13" s="501" customFormat="1" ht="23.25" x14ac:dyDescent="0.35">
      <c r="A8" s="497" t="s">
        <v>367</v>
      </c>
      <c r="B8" s="506"/>
      <c r="C8" s="505"/>
      <c r="D8" s="502"/>
      <c r="E8" s="505"/>
      <c r="F8" s="502"/>
      <c r="G8" s="505"/>
      <c r="H8" s="502"/>
      <c r="I8" s="505"/>
      <c r="J8" s="502"/>
    </row>
    <row r="9" spans="1:13" s="48" customFormat="1" ht="33.75" customHeight="1" x14ac:dyDescent="0.25">
      <c r="A9" s="906" t="s">
        <v>3</v>
      </c>
      <c r="B9" s="913" t="s">
        <v>5</v>
      </c>
      <c r="C9" s="914"/>
      <c r="D9" s="914"/>
      <c r="E9" s="915"/>
      <c r="F9" s="913" t="s">
        <v>7</v>
      </c>
      <c r="G9" s="914"/>
      <c r="H9" s="914"/>
      <c r="I9" s="915"/>
      <c r="J9" s="913" t="s">
        <v>306</v>
      </c>
      <c r="K9" s="914"/>
      <c r="L9" s="914"/>
      <c r="M9" s="915"/>
    </row>
    <row r="10" spans="1:13" ht="15.75" customHeight="1" x14ac:dyDescent="0.25">
      <c r="A10" s="906"/>
      <c r="B10" s="899" t="s">
        <v>327</v>
      </c>
      <c r="C10" s="899"/>
      <c r="D10" s="900" t="s">
        <v>333</v>
      </c>
      <c r="E10" s="901"/>
      <c r="F10" s="899" t="s">
        <v>327</v>
      </c>
      <c r="G10" s="899"/>
      <c r="H10" s="900" t="s">
        <v>333</v>
      </c>
      <c r="I10" s="901"/>
      <c r="J10" s="899" t="s">
        <v>327</v>
      </c>
      <c r="K10" s="899"/>
      <c r="L10" s="900" t="s">
        <v>333</v>
      </c>
      <c r="M10" s="901"/>
    </row>
    <row r="11" spans="1:13" s="343" customFormat="1" ht="45" x14ac:dyDescent="0.25">
      <c r="A11" s="906"/>
      <c r="B11" s="494" t="s">
        <v>307</v>
      </c>
      <c r="C11" s="476" t="s">
        <v>60</v>
      </c>
      <c r="D11" s="494" t="s">
        <v>307</v>
      </c>
      <c r="E11" s="17" t="s">
        <v>305</v>
      </c>
      <c r="F11" s="494" t="s">
        <v>308</v>
      </c>
      <c r="G11" s="495" t="s">
        <v>60</v>
      </c>
      <c r="H11" s="494" t="s">
        <v>308</v>
      </c>
      <c r="I11" s="17" t="s">
        <v>305</v>
      </c>
      <c r="J11" s="494" t="s">
        <v>309</v>
      </c>
      <c r="K11" s="476" t="s">
        <v>60</v>
      </c>
      <c r="L11" s="494" t="s">
        <v>309</v>
      </c>
      <c r="M11" s="17" t="s">
        <v>305</v>
      </c>
    </row>
    <row r="12" spans="1:13" x14ac:dyDescent="0.25">
      <c r="A12" s="349" t="s">
        <v>81</v>
      </c>
      <c r="B12" s="477">
        <f t="shared" ref="B12:G12" si="0">SUM(B13:B22)</f>
        <v>12886</v>
      </c>
      <c r="C12" s="351">
        <f t="shared" si="0"/>
        <v>193290000</v>
      </c>
      <c r="D12" s="477">
        <f t="shared" si="0"/>
        <v>12598</v>
      </c>
      <c r="E12" s="646">
        <f t="shared" si="0"/>
        <v>132652600</v>
      </c>
      <c r="F12" s="477">
        <f t="shared" si="0"/>
        <v>1330</v>
      </c>
      <c r="G12" s="351">
        <f t="shared" si="0"/>
        <v>13300000</v>
      </c>
      <c r="H12" s="477">
        <f t="shared" ref="H12:M12" si="1">SUM(H13:H22)</f>
        <v>845</v>
      </c>
      <c r="I12" s="351">
        <f t="shared" si="1"/>
        <v>4788230</v>
      </c>
      <c r="J12" s="477">
        <f t="shared" si="1"/>
        <v>6300</v>
      </c>
      <c r="K12" s="351">
        <f t="shared" si="1"/>
        <v>9828000</v>
      </c>
      <c r="L12" s="350">
        <f t="shared" si="1"/>
        <v>4266</v>
      </c>
      <c r="M12" s="351">
        <f t="shared" si="1"/>
        <v>4173120</v>
      </c>
    </row>
    <row r="13" spans="1:13" x14ac:dyDescent="0.25">
      <c r="A13" s="83" t="s">
        <v>194</v>
      </c>
      <c r="B13" s="726">
        <f>3387-1525</f>
        <v>1862</v>
      </c>
      <c r="C13" s="442">
        <f t="shared" ref="C13:C22" si="2">B13*15000</f>
        <v>27930000</v>
      </c>
      <c r="D13" s="774">
        <v>1830</v>
      </c>
      <c r="E13" s="777">
        <v>18497000</v>
      </c>
      <c r="F13" s="30"/>
      <c r="G13" s="384">
        <f>F13*10000</f>
        <v>0</v>
      </c>
      <c r="H13" s="743">
        <v>179</v>
      </c>
      <c r="I13" s="744">
        <v>1179590</v>
      </c>
      <c r="J13" s="722">
        <v>1000</v>
      </c>
      <c r="K13" s="484">
        <f>J13*1560</f>
        <v>1560000</v>
      </c>
      <c r="L13" s="345">
        <v>1300</v>
      </c>
      <c r="M13" s="344">
        <v>1029600</v>
      </c>
    </row>
    <row r="14" spans="1:13" x14ac:dyDescent="0.25">
      <c r="A14" s="83" t="s">
        <v>195</v>
      </c>
      <c r="B14" s="726">
        <v>1142</v>
      </c>
      <c r="C14" s="442">
        <f t="shared" si="2"/>
        <v>17130000</v>
      </c>
      <c r="D14" s="774">
        <v>1093</v>
      </c>
      <c r="E14" s="777">
        <v>11409900</v>
      </c>
      <c r="F14" s="30"/>
      <c r="G14" s="384">
        <f t="shared" ref="G14:G22" si="3">F14*10000</f>
        <v>0</v>
      </c>
      <c r="H14" s="743">
        <v>176</v>
      </c>
      <c r="I14" s="744">
        <v>1020000</v>
      </c>
      <c r="J14" s="722">
        <v>600</v>
      </c>
      <c r="K14" s="484">
        <f t="shared" ref="K14:K22" si="4">J14*1560</f>
        <v>936000</v>
      </c>
      <c r="L14" s="345"/>
      <c r="M14" s="344"/>
    </row>
    <row r="15" spans="1:13" x14ac:dyDescent="0.25">
      <c r="A15" s="83" t="s">
        <v>196</v>
      </c>
      <c r="B15" s="726">
        <v>970</v>
      </c>
      <c r="C15" s="442">
        <f t="shared" si="2"/>
        <v>14550000</v>
      </c>
      <c r="D15" s="774">
        <v>967</v>
      </c>
      <c r="E15" s="777">
        <v>10537900</v>
      </c>
      <c r="F15" s="30"/>
      <c r="G15" s="384">
        <f t="shared" si="3"/>
        <v>0</v>
      </c>
      <c r="H15" s="743">
        <v>21</v>
      </c>
      <c r="I15" s="744">
        <v>105000</v>
      </c>
      <c r="J15" s="722">
        <v>600</v>
      </c>
      <c r="K15" s="484">
        <f t="shared" si="4"/>
        <v>936000</v>
      </c>
      <c r="L15" s="345"/>
      <c r="M15" s="344"/>
    </row>
    <row r="16" spans="1:13" x14ac:dyDescent="0.25">
      <c r="A16" s="83" t="s">
        <v>11</v>
      </c>
      <c r="B16" s="726">
        <f>1250-88</f>
        <v>1162</v>
      </c>
      <c r="C16" s="442">
        <f t="shared" si="2"/>
        <v>17430000</v>
      </c>
      <c r="D16" s="774">
        <v>1164</v>
      </c>
      <c r="E16" s="777">
        <v>12463900</v>
      </c>
      <c r="F16" s="30">
        <v>334</v>
      </c>
      <c r="G16" s="384">
        <f t="shared" si="3"/>
        <v>3340000</v>
      </c>
      <c r="H16" s="743">
        <v>41</v>
      </c>
      <c r="I16" s="744">
        <v>369640</v>
      </c>
      <c r="J16" s="722">
        <v>800</v>
      </c>
      <c r="K16" s="484">
        <f t="shared" si="4"/>
        <v>1248000</v>
      </c>
      <c r="L16" s="345">
        <v>817</v>
      </c>
      <c r="M16" s="344">
        <v>355680</v>
      </c>
    </row>
    <row r="17" spans="1:13" x14ac:dyDescent="0.25">
      <c r="A17" s="83" t="s">
        <v>12</v>
      </c>
      <c r="B17" s="726">
        <v>1434</v>
      </c>
      <c r="C17" s="442">
        <f t="shared" si="2"/>
        <v>21510000</v>
      </c>
      <c r="D17" s="774">
        <v>1368</v>
      </c>
      <c r="E17" s="777">
        <v>14163900</v>
      </c>
      <c r="F17" s="30">
        <v>256</v>
      </c>
      <c r="G17" s="384">
        <f t="shared" si="3"/>
        <v>2560000</v>
      </c>
      <c r="H17" s="743">
        <v>96</v>
      </c>
      <c r="I17" s="744">
        <v>515000</v>
      </c>
      <c r="J17" s="722">
        <v>700</v>
      </c>
      <c r="K17" s="484">
        <f t="shared" si="4"/>
        <v>1092000</v>
      </c>
      <c r="L17" s="345">
        <v>709</v>
      </c>
      <c r="M17" s="344">
        <v>524160</v>
      </c>
    </row>
    <row r="18" spans="1:13" x14ac:dyDescent="0.25">
      <c r="A18" s="83" t="s">
        <v>197</v>
      </c>
      <c r="B18" s="726">
        <v>1713</v>
      </c>
      <c r="C18" s="442">
        <f t="shared" si="2"/>
        <v>25695000</v>
      </c>
      <c r="D18" s="774">
        <v>1724</v>
      </c>
      <c r="E18" s="777">
        <v>18833200</v>
      </c>
      <c r="F18" s="30"/>
      <c r="G18" s="384">
        <f t="shared" si="3"/>
        <v>0</v>
      </c>
      <c r="H18" s="743">
        <v>176</v>
      </c>
      <c r="I18" s="744">
        <v>819000</v>
      </c>
      <c r="J18" s="722">
        <v>700</v>
      </c>
      <c r="K18" s="484">
        <f t="shared" si="4"/>
        <v>1092000</v>
      </c>
      <c r="L18" s="345"/>
      <c r="M18" s="344"/>
    </row>
    <row r="19" spans="1:13" x14ac:dyDescent="0.25">
      <c r="A19" s="83" t="s">
        <v>147</v>
      </c>
      <c r="B19" s="726">
        <f>801-56</f>
        <v>745</v>
      </c>
      <c r="C19" s="442">
        <f t="shared" si="2"/>
        <v>11175000</v>
      </c>
      <c r="D19" s="774">
        <v>713</v>
      </c>
      <c r="E19" s="777">
        <v>7572500</v>
      </c>
      <c r="F19" s="30">
        <v>440</v>
      </c>
      <c r="G19" s="384">
        <f t="shared" si="3"/>
        <v>4400000</v>
      </c>
      <c r="H19" s="743"/>
      <c r="I19" s="744"/>
      <c r="J19" s="722">
        <v>500</v>
      </c>
      <c r="K19" s="484">
        <f t="shared" si="4"/>
        <v>780000</v>
      </c>
      <c r="L19" s="345"/>
      <c r="M19" s="344"/>
    </row>
    <row r="20" spans="1:13" x14ac:dyDescent="0.25">
      <c r="A20" s="83" t="s">
        <v>198</v>
      </c>
      <c r="B20" s="726">
        <v>698</v>
      </c>
      <c r="C20" s="442">
        <f t="shared" si="2"/>
        <v>10470000</v>
      </c>
      <c r="D20" s="774">
        <v>654</v>
      </c>
      <c r="E20" s="777">
        <v>6725700</v>
      </c>
      <c r="F20" s="30"/>
      <c r="G20" s="384">
        <f t="shared" si="3"/>
        <v>0</v>
      </c>
      <c r="H20" s="743">
        <v>52</v>
      </c>
      <c r="I20" s="744">
        <v>260000</v>
      </c>
      <c r="J20" s="722"/>
      <c r="K20" s="484">
        <f t="shared" si="4"/>
        <v>0</v>
      </c>
      <c r="L20" s="345"/>
      <c r="M20" s="344"/>
    </row>
    <row r="21" spans="1:13" x14ac:dyDescent="0.25">
      <c r="A21" s="83" t="s">
        <v>199</v>
      </c>
      <c r="B21" s="726">
        <f>792-12</f>
        <v>780</v>
      </c>
      <c r="C21" s="442">
        <f t="shared" si="2"/>
        <v>11700000</v>
      </c>
      <c r="D21" s="774">
        <v>758</v>
      </c>
      <c r="E21" s="777">
        <v>7764500</v>
      </c>
      <c r="F21" s="30"/>
      <c r="G21" s="384">
        <f t="shared" si="3"/>
        <v>0</v>
      </c>
      <c r="H21" s="743">
        <v>49</v>
      </c>
      <c r="I21" s="744">
        <v>245000</v>
      </c>
      <c r="J21" s="722"/>
      <c r="K21" s="484">
        <f t="shared" si="4"/>
        <v>0</v>
      </c>
      <c r="L21" s="345"/>
      <c r="M21" s="344"/>
    </row>
    <row r="22" spans="1:13" x14ac:dyDescent="0.25">
      <c r="A22" s="83" t="s">
        <v>200</v>
      </c>
      <c r="B22" s="726">
        <f>2386-6</f>
        <v>2380</v>
      </c>
      <c r="C22" s="442">
        <f t="shared" si="2"/>
        <v>35700000</v>
      </c>
      <c r="D22" s="774">
        <v>2327</v>
      </c>
      <c r="E22" s="777">
        <v>24684100</v>
      </c>
      <c r="F22" s="30">
        <v>300</v>
      </c>
      <c r="G22" s="384">
        <f t="shared" si="3"/>
        <v>3000000</v>
      </c>
      <c r="H22" s="745">
        <v>55</v>
      </c>
      <c r="I22" s="746">
        <v>275000</v>
      </c>
      <c r="J22" s="722">
        <v>1400</v>
      </c>
      <c r="K22" s="484">
        <f t="shared" si="4"/>
        <v>2184000</v>
      </c>
      <c r="L22" s="345">
        <v>1440</v>
      </c>
      <c r="M22" s="344">
        <v>2263680</v>
      </c>
    </row>
    <row r="24" spans="1:13" s="48" customFormat="1" ht="31.5" customHeight="1" x14ac:dyDescent="0.25">
      <c r="A24" s="906" t="s">
        <v>3</v>
      </c>
      <c r="B24" s="913" t="s">
        <v>16</v>
      </c>
      <c r="C24" s="914"/>
      <c r="D24" s="914"/>
      <c r="E24" s="915"/>
      <c r="F24" s="913" t="s">
        <v>421</v>
      </c>
      <c r="G24" s="914"/>
      <c r="H24" s="914"/>
      <c r="I24" s="915"/>
      <c r="J24" s="913" t="s">
        <v>329</v>
      </c>
      <c r="K24" s="914"/>
      <c r="L24" s="914"/>
      <c r="M24" s="915"/>
    </row>
    <row r="25" spans="1:13" ht="15" customHeight="1" x14ac:dyDescent="0.25">
      <c r="A25" s="906"/>
      <c r="B25" s="899" t="s">
        <v>327</v>
      </c>
      <c r="C25" s="899"/>
      <c r="D25" s="900" t="s">
        <v>333</v>
      </c>
      <c r="E25" s="901"/>
      <c r="F25" s="899" t="s">
        <v>327</v>
      </c>
      <c r="G25" s="899"/>
      <c r="H25" s="900" t="s">
        <v>333</v>
      </c>
      <c r="I25" s="901"/>
      <c r="J25" s="899" t="s">
        <v>327</v>
      </c>
      <c r="K25" s="899"/>
      <c r="L25" s="900" t="s">
        <v>333</v>
      </c>
      <c r="M25" s="901"/>
    </row>
    <row r="26" spans="1:13" ht="45" customHeight="1" x14ac:dyDescent="0.25">
      <c r="A26" s="906"/>
      <c r="B26" s="494" t="s">
        <v>330</v>
      </c>
      <c r="C26" s="476" t="s">
        <v>60</v>
      </c>
      <c r="D26" s="494" t="s">
        <v>330</v>
      </c>
      <c r="E26" s="17" t="s">
        <v>305</v>
      </c>
      <c r="F26" s="494" t="s">
        <v>253</v>
      </c>
      <c r="G26" s="495" t="s">
        <v>60</v>
      </c>
      <c r="H26" s="494" t="s">
        <v>253</v>
      </c>
      <c r="I26" s="476" t="s">
        <v>305</v>
      </c>
      <c r="J26" s="494" t="s">
        <v>310</v>
      </c>
      <c r="K26" s="476" t="s">
        <v>60</v>
      </c>
      <c r="L26" s="494" t="s">
        <v>310</v>
      </c>
      <c r="M26" s="17" t="s">
        <v>305</v>
      </c>
    </row>
    <row r="27" spans="1:13" x14ac:dyDescent="0.25">
      <c r="A27" s="349" t="s">
        <v>81</v>
      </c>
      <c r="B27" s="477">
        <f t="shared" ref="B27:M27" si="5">SUM(B28:B37)</f>
        <v>3188</v>
      </c>
      <c r="C27" s="351">
        <f t="shared" si="5"/>
        <v>19128000</v>
      </c>
      <c r="D27" s="477">
        <f t="shared" si="5"/>
        <v>3947</v>
      </c>
      <c r="E27" s="351">
        <f t="shared" si="5"/>
        <v>23682000</v>
      </c>
      <c r="F27" s="477">
        <f t="shared" si="5"/>
        <v>25</v>
      </c>
      <c r="G27" s="351">
        <f t="shared" si="5"/>
        <v>25901360</v>
      </c>
      <c r="H27" s="477">
        <f t="shared" si="5"/>
        <v>0</v>
      </c>
      <c r="I27" s="351">
        <f t="shared" si="5"/>
        <v>0</v>
      </c>
      <c r="J27" s="477">
        <f t="shared" si="5"/>
        <v>0</v>
      </c>
      <c r="K27" s="351">
        <f t="shared" si="5"/>
        <v>0</v>
      </c>
      <c r="L27" s="350">
        <f t="shared" si="5"/>
        <v>1073</v>
      </c>
      <c r="M27" s="351">
        <f t="shared" si="5"/>
        <v>3603000</v>
      </c>
    </row>
    <row r="28" spans="1:13" x14ac:dyDescent="0.25">
      <c r="A28" s="83" t="s">
        <v>194</v>
      </c>
      <c r="B28" s="722">
        <v>318</v>
      </c>
      <c r="C28" s="484">
        <f t="shared" ref="C28:C37" si="6">B28*500*12</f>
        <v>1908000</v>
      </c>
      <c r="D28" s="30">
        <v>504</v>
      </c>
      <c r="E28" s="384">
        <f>D28*6000</f>
        <v>3024000</v>
      </c>
      <c r="F28" s="30">
        <f>1</f>
        <v>1</v>
      </c>
      <c r="G28" s="384">
        <f>2600000</f>
        <v>2600000</v>
      </c>
      <c r="H28" s="30"/>
      <c r="I28" s="384"/>
      <c r="J28" s="478"/>
      <c r="K28" s="386"/>
      <c r="L28" s="739">
        <v>218</v>
      </c>
      <c r="M28" s="740">
        <v>746500</v>
      </c>
    </row>
    <row r="29" spans="1:13" x14ac:dyDescent="0.25">
      <c r="A29" s="83" t="s">
        <v>195</v>
      </c>
      <c r="B29" s="722">
        <v>330</v>
      </c>
      <c r="C29" s="484">
        <f t="shared" si="6"/>
        <v>1980000</v>
      </c>
      <c r="D29" s="30">
        <v>244</v>
      </c>
      <c r="E29" s="384">
        <f t="shared" ref="E29:E37" si="7">D29*6000</f>
        <v>1464000</v>
      </c>
      <c r="F29" s="30">
        <f>2</f>
        <v>2</v>
      </c>
      <c r="G29" s="384">
        <f>880000+990000</f>
        <v>1870000</v>
      </c>
      <c r="H29" s="30"/>
      <c r="I29" s="384"/>
      <c r="J29" s="478"/>
      <c r="K29" s="386"/>
      <c r="L29" s="739">
        <v>146</v>
      </c>
      <c r="M29" s="740">
        <v>483000</v>
      </c>
    </row>
    <row r="30" spans="1:13" x14ac:dyDescent="0.25">
      <c r="A30" s="83" t="s">
        <v>196</v>
      </c>
      <c r="B30" s="722">
        <v>302</v>
      </c>
      <c r="C30" s="484">
        <f t="shared" si="6"/>
        <v>1812000</v>
      </c>
      <c r="D30" s="30">
        <v>490</v>
      </c>
      <c r="E30" s="384">
        <f t="shared" si="7"/>
        <v>2940000</v>
      </c>
      <c r="F30" s="30">
        <f>3+2</f>
        <v>5</v>
      </c>
      <c r="G30" s="384">
        <v>3511360</v>
      </c>
      <c r="H30" s="30"/>
      <c r="I30" s="384"/>
      <c r="J30" s="478"/>
      <c r="K30" s="386"/>
      <c r="L30" s="739">
        <v>23</v>
      </c>
      <c r="M30" s="740">
        <v>84500</v>
      </c>
    </row>
    <row r="31" spans="1:13" x14ac:dyDescent="0.25">
      <c r="A31" s="83" t="s">
        <v>11</v>
      </c>
      <c r="B31" s="722">
        <v>297</v>
      </c>
      <c r="C31" s="484">
        <f t="shared" si="6"/>
        <v>1782000</v>
      </c>
      <c r="D31" s="30">
        <v>306</v>
      </c>
      <c r="E31" s="384">
        <f t="shared" si="7"/>
        <v>1836000</v>
      </c>
      <c r="F31" s="30">
        <f>2</f>
        <v>2</v>
      </c>
      <c r="G31" s="384">
        <f>2000000+2200000</f>
        <v>4200000</v>
      </c>
      <c r="H31" s="30"/>
      <c r="I31" s="384"/>
      <c r="J31" s="478"/>
      <c r="K31" s="386"/>
      <c r="L31" s="739">
        <v>191</v>
      </c>
      <c r="M31" s="740">
        <v>627500</v>
      </c>
    </row>
    <row r="32" spans="1:13" x14ac:dyDescent="0.25">
      <c r="A32" s="83" t="s">
        <v>12</v>
      </c>
      <c r="B32" s="722">
        <v>279</v>
      </c>
      <c r="C32" s="484">
        <f t="shared" si="6"/>
        <v>1674000</v>
      </c>
      <c r="D32" s="30">
        <v>273</v>
      </c>
      <c r="E32" s="384">
        <f t="shared" si="7"/>
        <v>1638000</v>
      </c>
      <c r="F32" s="30">
        <f>2</f>
        <v>2</v>
      </c>
      <c r="G32" s="384">
        <f>500000+1150000</f>
        <v>1650000</v>
      </c>
      <c r="H32" s="30"/>
      <c r="I32" s="384"/>
      <c r="J32" s="478"/>
      <c r="K32" s="386"/>
      <c r="L32" s="739">
        <v>34</v>
      </c>
      <c r="M32" s="740">
        <v>132500</v>
      </c>
    </row>
    <row r="33" spans="1:13" x14ac:dyDescent="0.25">
      <c r="A33" s="83" t="s">
        <v>197</v>
      </c>
      <c r="B33" s="722">
        <v>298</v>
      </c>
      <c r="C33" s="484">
        <f t="shared" si="6"/>
        <v>1788000</v>
      </c>
      <c r="D33" s="30">
        <v>497</v>
      </c>
      <c r="E33" s="384">
        <f t="shared" si="7"/>
        <v>2982000</v>
      </c>
      <c r="F33" s="30">
        <v>3</v>
      </c>
      <c r="G33" s="384">
        <v>4200000</v>
      </c>
      <c r="H33" s="30"/>
      <c r="I33" s="384"/>
      <c r="J33" s="478"/>
      <c r="K33" s="386"/>
      <c r="L33" s="739">
        <v>53</v>
      </c>
      <c r="M33" s="740">
        <v>159000</v>
      </c>
    </row>
    <row r="34" spans="1:13" x14ac:dyDescent="0.25">
      <c r="A34" s="83" t="s">
        <v>147</v>
      </c>
      <c r="B34" s="722">
        <v>363</v>
      </c>
      <c r="C34" s="484">
        <f t="shared" si="6"/>
        <v>2178000</v>
      </c>
      <c r="D34" s="30">
        <v>467</v>
      </c>
      <c r="E34" s="384">
        <f t="shared" si="7"/>
        <v>2802000</v>
      </c>
      <c r="F34" s="30">
        <v>4</v>
      </c>
      <c r="G34" s="384">
        <f>750000+500000+700000+609000</f>
        <v>2559000</v>
      </c>
      <c r="H34" s="30"/>
      <c r="I34" s="384"/>
      <c r="J34" s="478"/>
      <c r="K34" s="386"/>
      <c r="L34" s="739">
        <v>107</v>
      </c>
      <c r="M34" s="740">
        <v>353000</v>
      </c>
    </row>
    <row r="35" spans="1:13" x14ac:dyDescent="0.25">
      <c r="A35" s="83" t="s">
        <v>198</v>
      </c>
      <c r="B35" s="722">
        <v>325</v>
      </c>
      <c r="C35" s="484">
        <f t="shared" si="6"/>
        <v>1950000</v>
      </c>
      <c r="D35" s="30">
        <v>238</v>
      </c>
      <c r="E35" s="384">
        <f t="shared" si="7"/>
        <v>1428000</v>
      </c>
      <c r="F35" s="30">
        <f>3</f>
        <v>3</v>
      </c>
      <c r="G35" s="384">
        <v>2811000</v>
      </c>
      <c r="H35" s="30"/>
      <c r="I35" s="384"/>
      <c r="J35" s="478"/>
      <c r="K35" s="386"/>
      <c r="L35" s="739">
        <v>89</v>
      </c>
      <c r="M35" s="740">
        <v>298000</v>
      </c>
    </row>
    <row r="36" spans="1:13" x14ac:dyDescent="0.25">
      <c r="A36" s="83" t="s">
        <v>199</v>
      </c>
      <c r="B36" s="722">
        <v>309</v>
      </c>
      <c r="C36" s="484">
        <f t="shared" si="6"/>
        <v>1854000</v>
      </c>
      <c r="D36" s="30">
        <v>407</v>
      </c>
      <c r="E36" s="384">
        <f t="shared" si="7"/>
        <v>2442000</v>
      </c>
      <c r="F36" s="30">
        <f>3</f>
        <v>3</v>
      </c>
      <c r="G36" s="384">
        <f>1500000+500000+500000</f>
        <v>2500000</v>
      </c>
      <c r="H36" s="30"/>
      <c r="I36" s="384"/>
      <c r="J36" s="478"/>
      <c r="K36" s="386"/>
      <c r="L36" s="739">
        <v>167</v>
      </c>
      <c r="M36" s="740">
        <v>552000</v>
      </c>
    </row>
    <row r="37" spans="1:13" x14ac:dyDescent="0.25">
      <c r="A37" s="83" t="s">
        <v>200</v>
      </c>
      <c r="B37" s="722">
        <v>367</v>
      </c>
      <c r="C37" s="484">
        <f t="shared" si="6"/>
        <v>2202000</v>
      </c>
      <c r="D37" s="30">
        <v>521</v>
      </c>
      <c r="E37" s="384">
        <f t="shared" si="7"/>
        <v>3126000</v>
      </c>
      <c r="F37" s="30"/>
      <c r="G37" s="384"/>
      <c r="H37" s="30"/>
      <c r="I37" s="384"/>
      <c r="J37" s="478"/>
      <c r="K37" s="386"/>
      <c r="L37" s="739">
        <v>45</v>
      </c>
      <c r="M37" s="740">
        <v>167000</v>
      </c>
    </row>
    <row r="38" spans="1:13" x14ac:dyDescent="0.25">
      <c r="A38" s="116"/>
      <c r="B38" s="117"/>
      <c r="C38" s="561"/>
      <c r="D38" s="562"/>
      <c r="E38" s="58"/>
      <c r="F38" s="572"/>
      <c r="G38" s="573"/>
      <c r="H38" s="117"/>
      <c r="I38" s="510"/>
      <c r="J38" s="512"/>
      <c r="K38" s="513"/>
      <c r="L38" s="562"/>
      <c r="M38" s="58"/>
    </row>
    <row r="39" spans="1:13" x14ac:dyDescent="0.25">
      <c r="A39" s="116"/>
      <c r="B39" s="117"/>
      <c r="C39" s="561"/>
      <c r="D39" s="562"/>
      <c r="E39" s="58"/>
      <c r="F39" s="572"/>
      <c r="G39" s="573"/>
      <c r="H39" s="117"/>
      <c r="I39" s="510"/>
      <c r="J39" s="512"/>
      <c r="K39" s="513"/>
      <c r="L39" s="562"/>
      <c r="M39" s="58"/>
    </row>
    <row r="40" spans="1:13" x14ac:dyDescent="0.25">
      <c r="A40" s="116"/>
      <c r="B40" s="117"/>
      <c r="C40" s="561"/>
      <c r="D40" s="562"/>
      <c r="E40" s="58"/>
      <c r="F40" s="572"/>
      <c r="G40" s="573"/>
      <c r="H40" s="117"/>
      <c r="I40" s="510"/>
      <c r="J40" s="512"/>
      <c r="K40" s="513"/>
      <c r="L40" s="562"/>
      <c r="M40" s="58"/>
    </row>
    <row r="41" spans="1:13" x14ac:dyDescent="0.25">
      <c r="A41" s="116"/>
      <c r="B41" s="117"/>
      <c r="C41" s="561"/>
      <c r="D41" s="562"/>
      <c r="E41" s="58"/>
      <c r="F41" s="572"/>
      <c r="G41" s="573"/>
      <c r="H41" s="117"/>
      <c r="I41" s="510"/>
      <c r="J41" s="512"/>
      <c r="K41" s="513"/>
      <c r="L41" s="562"/>
      <c r="M41" s="58"/>
    </row>
    <row r="42" spans="1:13" x14ac:dyDescent="0.25">
      <c r="A42" s="116"/>
      <c r="B42" s="117"/>
      <c r="C42" s="561"/>
      <c r="D42" s="562"/>
      <c r="E42" s="58"/>
      <c r="F42" s="572"/>
      <c r="G42" s="573"/>
      <c r="H42" s="117"/>
      <c r="I42" s="510"/>
      <c r="J42" s="512"/>
      <c r="K42" s="513"/>
      <c r="L42" s="562"/>
      <c r="M42" s="58"/>
    </row>
    <row r="43" spans="1:13" x14ac:dyDescent="0.25">
      <c r="A43" s="116"/>
      <c r="B43" s="117"/>
      <c r="C43" s="561"/>
      <c r="D43" s="562"/>
      <c r="E43" s="58"/>
      <c r="F43" s="572"/>
      <c r="G43" s="573"/>
      <c r="H43" s="117"/>
      <c r="I43" s="510"/>
      <c r="J43" s="512"/>
      <c r="K43" s="513"/>
      <c r="L43" s="562"/>
      <c r="M43" s="58"/>
    </row>
    <row r="44" spans="1:13" x14ac:dyDescent="0.25">
      <c r="A44" s="116"/>
      <c r="B44" s="117"/>
      <c r="C44" s="561"/>
      <c r="D44" s="562"/>
      <c r="E44" s="58"/>
      <c r="F44" s="572"/>
      <c r="G44" s="573"/>
      <c r="H44" s="117"/>
      <c r="I44" s="510"/>
      <c r="J44" s="512"/>
      <c r="K44" s="513"/>
      <c r="L44" s="562"/>
      <c r="M44" s="58"/>
    </row>
    <row r="45" spans="1:13" ht="12" customHeight="1" x14ac:dyDescent="0.25"/>
    <row r="46" spans="1:13" s="48" customFormat="1" ht="16.5" customHeight="1" x14ac:dyDescent="0.25">
      <c r="A46" s="906" t="s">
        <v>3</v>
      </c>
      <c r="B46" s="913" t="s">
        <v>331</v>
      </c>
      <c r="C46" s="914"/>
      <c r="D46" s="914"/>
      <c r="E46" s="915"/>
      <c r="F46" s="913" t="s">
        <v>375</v>
      </c>
      <c r="G46" s="914"/>
      <c r="H46" s="914"/>
      <c r="I46" s="915"/>
      <c r="J46" s="913" t="s">
        <v>391</v>
      </c>
      <c r="K46" s="914"/>
      <c r="L46" s="914"/>
      <c r="M46" s="915"/>
    </row>
    <row r="47" spans="1:13" ht="17.25" customHeight="1" x14ac:dyDescent="0.25">
      <c r="A47" s="906"/>
      <c r="B47" s="899" t="s">
        <v>327</v>
      </c>
      <c r="C47" s="899"/>
      <c r="D47" s="900" t="s">
        <v>333</v>
      </c>
      <c r="E47" s="901"/>
      <c r="F47" s="899" t="s">
        <v>327</v>
      </c>
      <c r="G47" s="899"/>
      <c r="H47" s="900" t="s">
        <v>333</v>
      </c>
      <c r="I47" s="901"/>
      <c r="J47" s="899" t="s">
        <v>327</v>
      </c>
      <c r="K47" s="899"/>
      <c r="L47" s="900" t="s">
        <v>333</v>
      </c>
      <c r="M47" s="901"/>
    </row>
    <row r="48" spans="1:13" ht="45" customHeight="1" x14ac:dyDescent="0.25">
      <c r="A48" s="906"/>
      <c r="B48" s="494" t="s">
        <v>308</v>
      </c>
      <c r="C48" s="476" t="s">
        <v>60</v>
      </c>
      <c r="D48" s="494" t="s">
        <v>332</v>
      </c>
      <c r="E48" s="17" t="s">
        <v>305</v>
      </c>
      <c r="F48" s="494" t="s">
        <v>308</v>
      </c>
      <c r="G48" s="495" t="s">
        <v>60</v>
      </c>
      <c r="H48" s="494" t="s">
        <v>253</v>
      </c>
      <c r="I48" s="17" t="s">
        <v>305</v>
      </c>
      <c r="J48" s="567" t="s">
        <v>308</v>
      </c>
      <c r="K48" s="566" t="s">
        <v>60</v>
      </c>
      <c r="L48" s="567" t="s">
        <v>253</v>
      </c>
      <c r="M48" s="17" t="s">
        <v>305</v>
      </c>
    </row>
    <row r="49" spans="1:13" x14ac:dyDescent="0.25">
      <c r="A49" s="349" t="s">
        <v>81</v>
      </c>
      <c r="B49" s="477">
        <f t="shared" ref="B49:I49" si="8">SUM(B50:B59)</f>
        <v>0</v>
      </c>
      <c r="C49" s="351">
        <f t="shared" si="8"/>
        <v>0</v>
      </c>
      <c r="D49" s="477">
        <f t="shared" si="8"/>
        <v>0</v>
      </c>
      <c r="E49" s="351">
        <f t="shared" si="8"/>
        <v>0</v>
      </c>
      <c r="F49" s="477">
        <f t="shared" si="8"/>
        <v>0</v>
      </c>
      <c r="G49" s="351">
        <f t="shared" si="8"/>
        <v>0</v>
      </c>
      <c r="H49" s="477">
        <f t="shared" si="8"/>
        <v>0</v>
      </c>
      <c r="I49" s="351">
        <f t="shared" si="8"/>
        <v>0</v>
      </c>
      <c r="J49" s="477">
        <f t="shared" ref="J49:M49" si="9">SUM(J50:J59)</f>
        <v>0</v>
      </c>
      <c r="K49" s="351">
        <f t="shared" si="9"/>
        <v>0</v>
      </c>
      <c r="L49" s="477">
        <f t="shared" si="9"/>
        <v>0</v>
      </c>
      <c r="M49" s="351">
        <f t="shared" si="9"/>
        <v>0</v>
      </c>
    </row>
    <row r="50" spans="1:13" x14ac:dyDescent="0.25">
      <c r="A50" s="83" t="s">
        <v>194</v>
      </c>
      <c r="B50" s="494"/>
      <c r="C50" s="17"/>
      <c r="D50" s="20"/>
      <c r="E50" s="17"/>
      <c r="F50" s="30"/>
      <c r="G50" s="384"/>
      <c r="H50" s="30"/>
      <c r="I50" s="384"/>
      <c r="J50" s="30"/>
      <c r="K50" s="384"/>
      <c r="L50" s="30"/>
      <c r="M50" s="384"/>
    </row>
    <row r="51" spans="1:13" x14ac:dyDescent="0.25">
      <c r="A51" s="83" t="s">
        <v>195</v>
      </c>
      <c r="B51" s="494"/>
      <c r="C51" s="17"/>
      <c r="D51" s="20"/>
      <c r="E51" s="17"/>
      <c r="F51" s="30"/>
      <c r="G51" s="384"/>
      <c r="H51" s="30"/>
      <c r="I51" s="384"/>
      <c r="J51" s="30"/>
      <c r="K51" s="384"/>
      <c r="L51" s="30"/>
      <c r="M51" s="384"/>
    </row>
    <row r="52" spans="1:13" x14ac:dyDescent="0.25">
      <c r="A52" s="83" t="s">
        <v>196</v>
      </c>
      <c r="B52" s="494"/>
      <c r="C52" s="17"/>
      <c r="D52" s="20"/>
      <c r="E52" s="17"/>
      <c r="F52" s="30"/>
      <c r="G52" s="384"/>
      <c r="H52" s="30"/>
      <c r="I52" s="384"/>
      <c r="J52" s="30"/>
      <c r="K52" s="384"/>
      <c r="L52" s="30"/>
      <c r="M52" s="384"/>
    </row>
    <row r="53" spans="1:13" x14ac:dyDescent="0.25">
      <c r="A53" s="83" t="s">
        <v>11</v>
      </c>
      <c r="B53" s="494"/>
      <c r="C53" s="17"/>
      <c r="D53" s="20"/>
      <c r="E53" s="17"/>
      <c r="F53" s="30"/>
      <c r="G53" s="384"/>
      <c r="H53" s="30"/>
      <c r="I53" s="384"/>
      <c r="J53" s="30"/>
      <c r="K53" s="384"/>
      <c r="L53" s="30"/>
      <c r="M53" s="384"/>
    </row>
    <row r="54" spans="1:13" x14ac:dyDescent="0.25">
      <c r="A54" s="83" t="s">
        <v>12</v>
      </c>
      <c r="B54" s="494"/>
      <c r="C54" s="17"/>
      <c r="D54" s="20"/>
      <c r="E54" s="94"/>
      <c r="F54" s="30"/>
      <c r="G54" s="384"/>
      <c r="H54" s="30"/>
      <c r="I54" s="384"/>
      <c r="J54" s="30"/>
      <c r="K54" s="384"/>
      <c r="L54" s="30"/>
      <c r="M54" s="384"/>
    </row>
    <row r="55" spans="1:13" x14ac:dyDescent="0.25">
      <c r="A55" s="83" t="s">
        <v>197</v>
      </c>
      <c r="B55" s="494"/>
      <c r="C55" s="17"/>
      <c r="D55" s="20"/>
      <c r="E55" s="17"/>
      <c r="F55" s="30"/>
      <c r="G55" s="384"/>
      <c r="H55" s="30"/>
      <c r="I55" s="384"/>
      <c r="J55" s="30"/>
      <c r="K55" s="384"/>
      <c r="L55" s="30"/>
      <c r="M55" s="384"/>
    </row>
    <row r="56" spans="1:13" x14ac:dyDescent="0.25">
      <c r="A56" s="83" t="s">
        <v>147</v>
      </c>
      <c r="B56" s="494"/>
      <c r="C56" s="17"/>
      <c r="D56" s="20"/>
      <c r="E56" s="17"/>
      <c r="F56" s="30"/>
      <c r="G56" s="384"/>
      <c r="H56" s="30"/>
      <c r="I56" s="384"/>
      <c r="J56" s="30"/>
      <c r="K56" s="384"/>
      <c r="L56" s="30"/>
      <c r="M56" s="384"/>
    </row>
    <row r="57" spans="1:13" x14ac:dyDescent="0.25">
      <c r="A57" s="83" t="s">
        <v>198</v>
      </c>
      <c r="B57" s="494"/>
      <c r="C57" s="17"/>
      <c r="D57" s="20"/>
      <c r="E57" s="17"/>
      <c r="F57" s="30"/>
      <c r="G57" s="384"/>
      <c r="H57" s="30"/>
      <c r="I57" s="384"/>
      <c r="J57" s="30"/>
      <c r="K57" s="384"/>
      <c r="L57" s="30"/>
      <c r="M57" s="384"/>
    </row>
    <row r="58" spans="1:13" x14ac:dyDescent="0.25">
      <c r="A58" s="83" t="s">
        <v>199</v>
      </c>
      <c r="B58" s="494"/>
      <c r="C58" s="17"/>
      <c r="D58" s="20"/>
      <c r="E58" s="17"/>
      <c r="F58" s="30"/>
      <c r="G58" s="384"/>
      <c r="H58" s="30"/>
      <c r="I58" s="384"/>
      <c r="J58" s="30"/>
      <c r="K58" s="384"/>
      <c r="L58" s="30"/>
      <c r="M58" s="384"/>
    </row>
    <row r="59" spans="1:13" x14ac:dyDescent="0.25">
      <c r="A59" s="83" t="s">
        <v>200</v>
      </c>
      <c r="B59" s="275"/>
      <c r="C59" s="344"/>
      <c r="D59" s="344"/>
      <c r="E59" s="344"/>
      <c r="F59" s="275"/>
      <c r="G59" s="275"/>
      <c r="H59" s="275"/>
      <c r="I59" s="344"/>
      <c r="J59" s="275"/>
      <c r="K59" s="275"/>
      <c r="L59" s="275"/>
      <c r="M59" s="344"/>
    </row>
    <row r="61" spans="1:13" ht="15" customHeight="1" x14ac:dyDescent="0.25">
      <c r="A61" s="906" t="s">
        <v>3</v>
      </c>
      <c r="B61" s="913" t="s">
        <v>387</v>
      </c>
      <c r="C61" s="914"/>
      <c r="D61" s="914"/>
      <c r="E61" s="915"/>
      <c r="F61" s="913" t="s">
        <v>81</v>
      </c>
      <c r="G61" s="914"/>
      <c r="H61" s="914"/>
      <c r="I61" s="915"/>
    </row>
    <row r="62" spans="1:13" x14ac:dyDescent="0.25">
      <c r="A62" s="906"/>
      <c r="B62" s="899" t="s">
        <v>327</v>
      </c>
      <c r="C62" s="899"/>
      <c r="D62" s="900" t="s">
        <v>333</v>
      </c>
      <c r="E62" s="901"/>
      <c r="F62" s="907" t="s">
        <v>60</v>
      </c>
      <c r="G62" s="908"/>
      <c r="H62" s="907" t="s">
        <v>305</v>
      </c>
      <c r="I62" s="908"/>
    </row>
    <row r="63" spans="1:13" ht="30" x14ac:dyDescent="0.25">
      <c r="A63" s="906"/>
      <c r="B63" s="634" t="s">
        <v>308</v>
      </c>
      <c r="C63" s="633" t="s">
        <v>60</v>
      </c>
      <c r="D63" s="634" t="s">
        <v>308</v>
      </c>
      <c r="E63" s="17" t="s">
        <v>305</v>
      </c>
      <c r="F63" s="909"/>
      <c r="G63" s="910"/>
      <c r="H63" s="909"/>
      <c r="I63" s="910"/>
    </row>
    <row r="64" spans="1:13" x14ac:dyDescent="0.25">
      <c r="A64" s="349" t="s">
        <v>81</v>
      </c>
      <c r="B64" s="477">
        <f t="shared" ref="B64:E64" si="10">SUM(B65:B74)</f>
        <v>0</v>
      </c>
      <c r="C64" s="351">
        <f t="shared" si="10"/>
        <v>0</v>
      </c>
      <c r="D64" s="477">
        <f t="shared" si="10"/>
        <v>0</v>
      </c>
      <c r="E64" s="351">
        <f t="shared" si="10"/>
        <v>0</v>
      </c>
      <c r="F64" s="904">
        <f>SUM(F65:F74)</f>
        <v>261447360</v>
      </c>
      <c r="G64" s="905"/>
      <c r="H64" s="904">
        <f>SUM(H65:H74)</f>
        <v>168898950</v>
      </c>
      <c r="I64" s="905"/>
    </row>
    <row r="65" spans="1:9" x14ac:dyDescent="0.25">
      <c r="A65" s="83" t="s">
        <v>194</v>
      </c>
      <c r="B65" s="275"/>
      <c r="C65" s="344"/>
      <c r="D65" s="614"/>
      <c r="E65" s="344"/>
      <c r="F65" s="902">
        <f t="shared" ref="F65:F74" si="11">C13+G13+K13+C28+G28+K28+C50+G50+C65</f>
        <v>33998000</v>
      </c>
      <c r="G65" s="903"/>
      <c r="H65" s="902">
        <f t="shared" ref="H65:H74" si="12">E13+I13+M13+E28+I28+M28+E50+I50+M50+E65</f>
        <v>24476690</v>
      </c>
      <c r="I65" s="903"/>
    </row>
    <row r="66" spans="1:9" x14ac:dyDescent="0.25">
      <c r="A66" s="83" t="s">
        <v>195</v>
      </c>
      <c r="B66" s="275"/>
      <c r="C66" s="344"/>
      <c r="D66" s="614"/>
      <c r="E66" s="344"/>
      <c r="F66" s="902">
        <f t="shared" si="11"/>
        <v>21916000</v>
      </c>
      <c r="G66" s="903"/>
      <c r="H66" s="902">
        <f t="shared" si="12"/>
        <v>14376900</v>
      </c>
      <c r="I66" s="903"/>
    </row>
    <row r="67" spans="1:9" x14ac:dyDescent="0.25">
      <c r="A67" s="83" t="s">
        <v>196</v>
      </c>
      <c r="B67" s="275"/>
      <c r="C67" s="344"/>
      <c r="D67" s="614"/>
      <c r="E67" s="344"/>
      <c r="F67" s="902">
        <f t="shared" si="11"/>
        <v>20809360</v>
      </c>
      <c r="G67" s="903"/>
      <c r="H67" s="902">
        <f t="shared" si="12"/>
        <v>13667400</v>
      </c>
      <c r="I67" s="903"/>
    </row>
    <row r="68" spans="1:9" x14ac:dyDescent="0.25">
      <c r="A68" s="83" t="s">
        <v>11</v>
      </c>
      <c r="B68" s="275"/>
      <c r="C68" s="344"/>
      <c r="D68" s="614"/>
      <c r="E68" s="344"/>
      <c r="F68" s="902">
        <f t="shared" si="11"/>
        <v>28000000</v>
      </c>
      <c r="G68" s="903"/>
      <c r="H68" s="902">
        <f t="shared" si="12"/>
        <v>15652720</v>
      </c>
      <c r="I68" s="903"/>
    </row>
    <row r="69" spans="1:9" x14ac:dyDescent="0.25">
      <c r="A69" s="83" t="s">
        <v>12</v>
      </c>
      <c r="B69" s="275"/>
      <c r="C69" s="344"/>
      <c r="D69" s="614"/>
      <c r="E69" s="344"/>
      <c r="F69" s="902">
        <f t="shared" si="11"/>
        <v>28486000</v>
      </c>
      <c r="G69" s="903"/>
      <c r="H69" s="902">
        <f t="shared" si="12"/>
        <v>16973560</v>
      </c>
      <c r="I69" s="903"/>
    </row>
    <row r="70" spans="1:9" x14ac:dyDescent="0.25">
      <c r="A70" s="83" t="s">
        <v>197</v>
      </c>
      <c r="B70" s="275"/>
      <c r="C70" s="344"/>
      <c r="D70" s="614"/>
      <c r="E70" s="344"/>
      <c r="F70" s="902">
        <f t="shared" si="11"/>
        <v>32775000</v>
      </c>
      <c r="G70" s="903"/>
      <c r="H70" s="902">
        <f t="shared" si="12"/>
        <v>22793200</v>
      </c>
      <c r="I70" s="903"/>
    </row>
    <row r="71" spans="1:9" x14ac:dyDescent="0.25">
      <c r="A71" s="83" t="s">
        <v>147</v>
      </c>
      <c r="B71" s="275"/>
      <c r="C71" s="344"/>
      <c r="D71" s="614"/>
      <c r="E71" s="344"/>
      <c r="F71" s="902">
        <f t="shared" si="11"/>
        <v>21092000</v>
      </c>
      <c r="G71" s="903"/>
      <c r="H71" s="902">
        <f t="shared" si="12"/>
        <v>10727500</v>
      </c>
      <c r="I71" s="903"/>
    </row>
    <row r="72" spans="1:9" x14ac:dyDescent="0.25">
      <c r="A72" s="83" t="s">
        <v>198</v>
      </c>
      <c r="B72" s="275"/>
      <c r="C72" s="344"/>
      <c r="D72" s="614"/>
      <c r="E72" s="344"/>
      <c r="F72" s="902">
        <f t="shared" si="11"/>
        <v>15231000</v>
      </c>
      <c r="G72" s="903"/>
      <c r="H72" s="902">
        <f t="shared" si="12"/>
        <v>8711700</v>
      </c>
      <c r="I72" s="903"/>
    </row>
    <row r="73" spans="1:9" x14ac:dyDescent="0.25">
      <c r="A73" s="83" t="s">
        <v>199</v>
      </c>
      <c r="B73" s="275"/>
      <c r="C73" s="344"/>
      <c r="D73" s="614"/>
      <c r="E73" s="344"/>
      <c r="F73" s="902">
        <f t="shared" si="11"/>
        <v>16054000</v>
      </c>
      <c r="G73" s="903"/>
      <c r="H73" s="902">
        <f t="shared" si="12"/>
        <v>11003500</v>
      </c>
      <c r="I73" s="903"/>
    </row>
    <row r="74" spans="1:9" x14ac:dyDescent="0.25">
      <c r="A74" s="83" t="s">
        <v>200</v>
      </c>
      <c r="B74" s="275"/>
      <c r="C74" s="344"/>
      <c r="D74" s="614"/>
      <c r="E74" s="344"/>
      <c r="F74" s="902">
        <f t="shared" si="11"/>
        <v>43086000</v>
      </c>
      <c r="G74" s="903"/>
      <c r="H74" s="902">
        <f t="shared" si="12"/>
        <v>30515780</v>
      </c>
      <c r="I74" s="903"/>
    </row>
  </sheetData>
  <mergeCells count="64">
    <mergeCell ref="F73:G73"/>
    <mergeCell ref="H73:I73"/>
    <mergeCell ref="F74:G74"/>
    <mergeCell ref="H74:I74"/>
    <mergeCell ref="H71:I71"/>
    <mergeCell ref="F71:G71"/>
    <mergeCell ref="F64:G64"/>
    <mergeCell ref="H64:I64"/>
    <mergeCell ref="F65:G65"/>
    <mergeCell ref="H65:I65"/>
    <mergeCell ref="F72:G72"/>
    <mergeCell ref="H72:I72"/>
    <mergeCell ref="F66:G66"/>
    <mergeCell ref="F67:G67"/>
    <mergeCell ref="F68:G68"/>
    <mergeCell ref="F69:G69"/>
    <mergeCell ref="F70:G70"/>
    <mergeCell ref="H66:I66"/>
    <mergeCell ref="H67:I67"/>
    <mergeCell ref="H68:I68"/>
    <mergeCell ref="H69:I69"/>
    <mergeCell ref="H70:I70"/>
    <mergeCell ref="L25:M25"/>
    <mergeCell ref="A46:A48"/>
    <mergeCell ref="B46:E46"/>
    <mergeCell ref="F46:I46"/>
    <mergeCell ref="F61:I61"/>
    <mergeCell ref="B47:C47"/>
    <mergeCell ref="D47:E47"/>
    <mergeCell ref="F47:G47"/>
    <mergeCell ref="H47:I47"/>
    <mergeCell ref="A24:A26"/>
    <mergeCell ref="B24:E24"/>
    <mergeCell ref="F24:I24"/>
    <mergeCell ref="J24:M24"/>
    <mergeCell ref="B25:C25"/>
    <mergeCell ref="D25:E25"/>
    <mergeCell ref="F25:G25"/>
    <mergeCell ref="A1:M1"/>
    <mergeCell ref="A2:M2"/>
    <mergeCell ref="A3:M3"/>
    <mergeCell ref="A5:M5"/>
    <mergeCell ref="A6:M6"/>
    <mergeCell ref="H25:I25"/>
    <mergeCell ref="J25:K25"/>
    <mergeCell ref="B10:C10"/>
    <mergeCell ref="D10:E10"/>
    <mergeCell ref="F10:G10"/>
    <mergeCell ref="H10:I10"/>
    <mergeCell ref="J10:K10"/>
    <mergeCell ref="L10:M10"/>
    <mergeCell ref="A9:A11"/>
    <mergeCell ref="B9:E9"/>
    <mergeCell ref="F9:I9"/>
    <mergeCell ref="J9:M9"/>
    <mergeCell ref="B61:E61"/>
    <mergeCell ref="B62:C62"/>
    <mergeCell ref="D62:E62"/>
    <mergeCell ref="A61:A63"/>
    <mergeCell ref="J46:M46"/>
    <mergeCell ref="J47:K47"/>
    <mergeCell ref="L47:M47"/>
    <mergeCell ref="F62:G63"/>
    <mergeCell ref="H62:I63"/>
  </mergeCells>
  <pageMargins left="1.08" right="0.15748031496063" top="0.59055118110236204" bottom="0.74803149606299202" header="0.78740157480314998" footer="0.31496062992126"/>
  <pageSetup paperSize="9" scale="65" orientation="portrait" horizontalDpi="4294967293" verticalDpi="4294967293"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 sqref="C10"/>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64"/>
  <sheetViews>
    <sheetView topLeftCell="A43" zoomScale="80" zoomScaleNormal="80" workbookViewId="0">
      <selection activeCell="F10" sqref="F10"/>
    </sheetView>
  </sheetViews>
  <sheetFormatPr defaultRowHeight="15" x14ac:dyDescent="0.25"/>
  <cols>
    <col min="1" max="1" width="14.28515625" customWidth="1"/>
    <col min="2" max="2" width="11.42578125" customWidth="1"/>
    <col min="3" max="3" width="18.5703125" style="97" customWidth="1"/>
    <col min="4" max="4" width="13.5703125" style="598" customWidth="1"/>
    <col min="5" max="5" width="16.7109375" style="97" customWidth="1"/>
    <col min="6" max="6" width="8.85546875" customWidth="1"/>
    <col min="7" max="7" width="17.5703125" customWidth="1"/>
    <col min="8" max="8" width="10.28515625" customWidth="1"/>
    <col min="9" max="9" width="17.7109375" style="97" customWidth="1"/>
    <col min="10" max="10" width="11.5703125" customWidth="1"/>
    <col min="11" max="11" width="14.5703125" style="97" customWidth="1"/>
    <col min="12" max="12" width="11.42578125" customWidth="1"/>
    <col min="13" max="13" width="14.5703125" style="97" customWidth="1"/>
    <col min="14" max="14" width="17.42578125" customWidth="1"/>
    <col min="16" max="16" width="18.140625" customWidth="1"/>
    <col min="18" max="18" width="15.42578125" customWidth="1"/>
    <col min="20" max="20" width="15.42578125" customWidth="1"/>
  </cols>
  <sheetData>
    <row r="1" spans="1:13" x14ac:dyDescent="0.25">
      <c r="A1" s="858" t="s">
        <v>39</v>
      </c>
      <c r="B1" s="858"/>
      <c r="C1" s="858"/>
      <c r="D1" s="858"/>
      <c r="E1" s="858"/>
      <c r="F1" s="858"/>
      <c r="G1" s="858"/>
      <c r="H1" s="858"/>
      <c r="I1" s="858"/>
      <c r="J1" s="858"/>
      <c r="K1" s="858"/>
      <c r="L1" s="858"/>
      <c r="M1" s="858"/>
    </row>
    <row r="2" spans="1:13" x14ac:dyDescent="0.25">
      <c r="A2" s="858" t="s">
        <v>40</v>
      </c>
      <c r="B2" s="858"/>
      <c r="C2" s="858"/>
      <c r="D2" s="858"/>
      <c r="E2" s="858"/>
      <c r="F2" s="858"/>
      <c r="G2" s="858"/>
      <c r="H2" s="858"/>
      <c r="I2" s="858"/>
      <c r="J2" s="858"/>
      <c r="K2" s="858"/>
      <c r="L2" s="858"/>
      <c r="M2" s="858"/>
    </row>
    <row r="3" spans="1:13" x14ac:dyDescent="0.25">
      <c r="A3" s="858" t="s">
        <v>302</v>
      </c>
      <c r="B3" s="858"/>
      <c r="C3" s="858"/>
      <c r="D3" s="858"/>
      <c r="E3" s="858"/>
      <c r="F3" s="858"/>
      <c r="G3" s="858"/>
      <c r="H3" s="858"/>
      <c r="I3" s="858"/>
      <c r="J3" s="858"/>
      <c r="K3" s="858"/>
      <c r="L3" s="858"/>
      <c r="M3" s="858"/>
    </row>
    <row r="5" spans="1:13" ht="18.75" x14ac:dyDescent="0.3">
      <c r="A5" s="911" t="s">
        <v>401</v>
      </c>
      <c r="B5" s="911"/>
      <c r="C5" s="911"/>
      <c r="D5" s="911"/>
      <c r="E5" s="911"/>
      <c r="F5" s="911"/>
      <c r="G5" s="911"/>
      <c r="H5" s="911"/>
      <c r="I5" s="911"/>
      <c r="J5" s="911"/>
      <c r="K5" s="911"/>
      <c r="L5" s="911"/>
      <c r="M5" s="911"/>
    </row>
    <row r="6" spans="1:13" ht="15.75" customHeight="1" x14ac:dyDescent="0.25">
      <c r="A6" s="912" t="str">
        <f>Summary2015!A6</f>
        <v>JANUARY TO DECEMBER 2015</v>
      </c>
      <c r="B6" s="912"/>
      <c r="C6" s="912"/>
      <c r="D6" s="912"/>
      <c r="E6" s="912"/>
      <c r="F6" s="912"/>
      <c r="G6" s="912"/>
      <c r="H6" s="912"/>
      <c r="I6" s="912"/>
      <c r="J6" s="912"/>
      <c r="K6" s="912"/>
      <c r="L6" s="912"/>
      <c r="M6" s="912"/>
    </row>
    <row r="7" spans="1:13" s="480" customFormat="1" ht="15.75" x14ac:dyDescent="0.25">
      <c r="C7" s="481"/>
      <c r="D7" s="594"/>
      <c r="E7" s="481"/>
      <c r="I7" s="481"/>
      <c r="K7" s="481"/>
      <c r="M7" s="481"/>
    </row>
    <row r="8" spans="1:13" s="507" customFormat="1" ht="31.5" customHeight="1" x14ac:dyDescent="0.25">
      <c r="A8" s="906" t="s">
        <v>3</v>
      </c>
      <c r="B8" s="896" t="s">
        <v>5</v>
      </c>
      <c r="C8" s="897"/>
      <c r="D8" s="897"/>
      <c r="E8" s="898"/>
      <c r="F8" s="896" t="s">
        <v>7</v>
      </c>
      <c r="G8" s="897"/>
      <c r="H8" s="897"/>
      <c r="I8" s="898"/>
      <c r="J8" s="896" t="s">
        <v>306</v>
      </c>
      <c r="K8" s="897"/>
      <c r="L8" s="897"/>
      <c r="M8" s="898"/>
    </row>
    <row r="9" spans="1:13" ht="18" customHeight="1" x14ac:dyDescent="0.25">
      <c r="A9" s="906"/>
      <c r="B9" s="899" t="s">
        <v>327</v>
      </c>
      <c r="C9" s="899"/>
      <c r="D9" s="900" t="s">
        <v>333</v>
      </c>
      <c r="E9" s="901"/>
      <c r="F9" s="899" t="s">
        <v>327</v>
      </c>
      <c r="G9" s="899"/>
      <c r="H9" s="900" t="s">
        <v>333</v>
      </c>
      <c r="I9" s="901"/>
      <c r="J9" s="899" t="s">
        <v>327</v>
      </c>
      <c r="K9" s="899"/>
      <c r="L9" s="900" t="s">
        <v>333</v>
      </c>
      <c r="M9" s="901"/>
    </row>
    <row r="10" spans="1:13" s="343" customFormat="1" ht="45" x14ac:dyDescent="0.25">
      <c r="A10" s="906"/>
      <c r="B10" s="575" t="s">
        <v>307</v>
      </c>
      <c r="C10" s="476" t="s">
        <v>60</v>
      </c>
      <c r="D10" s="595" t="s">
        <v>307</v>
      </c>
      <c r="E10" s="17" t="s">
        <v>305</v>
      </c>
      <c r="F10" s="575" t="s">
        <v>308</v>
      </c>
      <c r="G10" s="574" t="s">
        <v>60</v>
      </c>
      <c r="H10" s="575" t="s">
        <v>308</v>
      </c>
      <c r="I10" s="17" t="s">
        <v>305</v>
      </c>
      <c r="J10" s="575" t="s">
        <v>309</v>
      </c>
      <c r="K10" s="476" t="s">
        <v>60</v>
      </c>
      <c r="L10" s="575" t="s">
        <v>309</v>
      </c>
      <c r="M10" s="17" t="s">
        <v>305</v>
      </c>
    </row>
    <row r="11" spans="1:13" s="590" customFormat="1" ht="14.45" x14ac:dyDescent="0.3">
      <c r="A11" s="591" t="s">
        <v>14</v>
      </c>
      <c r="B11" s="592">
        <f>B12+B19</f>
        <v>16108</v>
      </c>
      <c r="C11" s="593">
        <f>C12+C19</f>
        <v>241620000</v>
      </c>
      <c r="D11" s="596">
        <f t="shared" ref="D11:M11" si="0">D12+D19</f>
        <v>17723</v>
      </c>
      <c r="E11" s="593">
        <f t="shared" si="0"/>
        <v>188111200</v>
      </c>
      <c r="F11" s="596">
        <f t="shared" si="0"/>
        <v>1732</v>
      </c>
      <c r="G11" s="593">
        <f t="shared" si="0"/>
        <v>17320000</v>
      </c>
      <c r="H11" s="596">
        <f t="shared" si="0"/>
        <v>784</v>
      </c>
      <c r="I11" s="593">
        <f t="shared" si="0"/>
        <v>4386490</v>
      </c>
      <c r="J11" s="593">
        <f t="shared" si="0"/>
        <v>11875</v>
      </c>
      <c r="K11" s="593">
        <f t="shared" si="0"/>
        <v>18525000</v>
      </c>
      <c r="L11" s="596">
        <f t="shared" si="0"/>
        <v>11025</v>
      </c>
      <c r="M11" s="593">
        <f t="shared" si="0"/>
        <v>16005653</v>
      </c>
    </row>
    <row r="12" spans="1:13" ht="14.45" x14ac:dyDescent="0.3">
      <c r="A12" s="349" t="s">
        <v>278</v>
      </c>
      <c r="B12" s="477">
        <f t="shared" ref="B12:M12" si="1">SUM(B13:B18)</f>
        <v>9032</v>
      </c>
      <c r="C12" s="351">
        <f t="shared" si="1"/>
        <v>135480000</v>
      </c>
      <c r="D12" s="508">
        <f t="shared" si="1"/>
        <v>9657</v>
      </c>
      <c r="E12" s="351">
        <f t="shared" si="1"/>
        <v>102513000</v>
      </c>
      <c r="F12" s="477">
        <f t="shared" si="1"/>
        <v>601</v>
      </c>
      <c r="G12" s="351">
        <f t="shared" si="1"/>
        <v>6010000</v>
      </c>
      <c r="H12" s="508">
        <f t="shared" si="1"/>
        <v>372</v>
      </c>
      <c r="I12" s="351">
        <f t="shared" si="1"/>
        <v>2162490</v>
      </c>
      <c r="J12" s="477">
        <f t="shared" si="1"/>
        <v>5875</v>
      </c>
      <c r="K12" s="351">
        <f t="shared" si="1"/>
        <v>9165000</v>
      </c>
      <c r="L12" s="350">
        <f t="shared" si="1"/>
        <v>5871</v>
      </c>
      <c r="M12" s="351">
        <f t="shared" si="1"/>
        <v>6187623</v>
      </c>
    </row>
    <row r="13" spans="1:13" ht="14.45" x14ac:dyDescent="0.3">
      <c r="A13" s="575" t="s">
        <v>42</v>
      </c>
      <c r="B13" s="575">
        <f>Bat_1st!B12</f>
        <v>722</v>
      </c>
      <c r="C13" s="17">
        <f>Bat_1st!C12</f>
        <v>10830000</v>
      </c>
      <c r="D13" s="617">
        <f>Bat_1st!D12</f>
        <v>815</v>
      </c>
      <c r="E13" s="17">
        <f>Bat_1st!E12</f>
        <v>8254600</v>
      </c>
      <c r="F13" s="30">
        <f>Bat_1st!F12</f>
        <v>0</v>
      </c>
      <c r="G13" s="384">
        <f>Bat_1st!G12</f>
        <v>0</v>
      </c>
      <c r="H13" s="30">
        <f>Bat_1st!H12</f>
        <v>53</v>
      </c>
      <c r="I13" s="384">
        <f>Bat_1st!I12</f>
        <v>289115</v>
      </c>
      <c r="J13" s="575">
        <f>Bat_1st!J12</f>
        <v>567</v>
      </c>
      <c r="K13" s="17">
        <f>Bat_1st!K12</f>
        <v>884520</v>
      </c>
      <c r="L13" s="617">
        <f>Bat_1st!L12</f>
        <v>520</v>
      </c>
      <c r="M13" s="17">
        <f>Bat_1st!M12</f>
        <v>405600</v>
      </c>
    </row>
    <row r="14" spans="1:13" ht="14.45" x14ac:dyDescent="0.3">
      <c r="A14" s="575" t="s">
        <v>43</v>
      </c>
      <c r="B14" s="617">
        <f>Bat_1st!B13</f>
        <v>2892</v>
      </c>
      <c r="C14" s="17">
        <f>Bat_1st!C13</f>
        <v>43380000</v>
      </c>
      <c r="D14" s="617">
        <f>Bat_1st!D13</f>
        <v>3069</v>
      </c>
      <c r="E14" s="17">
        <f>Bat_1st!E13</f>
        <v>33213800</v>
      </c>
      <c r="F14" s="30">
        <f>Bat_1st!F13</f>
        <v>157</v>
      </c>
      <c r="G14" s="384">
        <f>Bat_1st!G13</f>
        <v>1570000</v>
      </c>
      <c r="H14" s="30">
        <f>Bat_1st!H13</f>
        <v>115</v>
      </c>
      <c r="I14" s="384">
        <f>Bat_1st!I13</f>
        <v>648995</v>
      </c>
      <c r="J14" s="617">
        <f>Bat_1st!J13</f>
        <v>1650</v>
      </c>
      <c r="K14" s="17">
        <f>Bat_1st!K13</f>
        <v>2574000</v>
      </c>
      <c r="L14" s="617">
        <f>Bat_1st!L13</f>
        <v>2227</v>
      </c>
      <c r="M14" s="17">
        <f>Bat_1st!M13</f>
        <v>2113423</v>
      </c>
    </row>
    <row r="15" spans="1:13" ht="14.45" x14ac:dyDescent="0.3">
      <c r="A15" s="575" t="s">
        <v>44</v>
      </c>
      <c r="B15" s="617">
        <f>Bat_1st!B14</f>
        <v>1802</v>
      </c>
      <c r="C15" s="17">
        <f>Bat_1st!C14</f>
        <v>27030000</v>
      </c>
      <c r="D15" s="617">
        <f>Bat_1st!D14</f>
        <v>1942</v>
      </c>
      <c r="E15" s="17">
        <f>Bat_1st!E14</f>
        <v>20725600</v>
      </c>
      <c r="F15" s="30">
        <f>Bat_1st!F14</f>
        <v>0</v>
      </c>
      <c r="G15" s="384">
        <f>Bat_1st!G14</f>
        <v>0</v>
      </c>
      <c r="H15" s="30">
        <f>Bat_1st!H14</f>
        <v>44</v>
      </c>
      <c r="I15" s="384">
        <f>Bat_1st!I14</f>
        <v>220000</v>
      </c>
      <c r="J15" s="617">
        <f>Bat_1st!J14</f>
        <v>1100</v>
      </c>
      <c r="K15" s="17">
        <f>Bat_1st!K14</f>
        <v>1716000</v>
      </c>
      <c r="L15" s="617">
        <f>Bat_1st!L14</f>
        <v>1350</v>
      </c>
      <c r="M15" s="17">
        <f>Bat_1st!M14</f>
        <v>2106000</v>
      </c>
    </row>
    <row r="16" spans="1:13" ht="14.45" x14ac:dyDescent="0.3">
      <c r="A16" s="575" t="s">
        <v>45</v>
      </c>
      <c r="B16" s="617">
        <f>Bat_1st!B15</f>
        <v>1176</v>
      </c>
      <c r="C16" s="17">
        <f>Bat_1st!C15</f>
        <v>17640000</v>
      </c>
      <c r="D16" s="617">
        <f>Bat_1st!D15</f>
        <v>1320</v>
      </c>
      <c r="E16" s="17">
        <f>Bat_1st!E15</f>
        <v>14242900</v>
      </c>
      <c r="F16" s="30">
        <f>Bat_1st!F15</f>
        <v>394</v>
      </c>
      <c r="G16" s="384">
        <f>Bat_1st!G15</f>
        <v>3940000</v>
      </c>
      <c r="H16" s="30">
        <f>Bat_1st!H15</f>
        <v>60</v>
      </c>
      <c r="I16" s="384">
        <f>Bat_1st!I15</f>
        <v>324380</v>
      </c>
      <c r="J16" s="617">
        <f>Bat_1st!J15</f>
        <v>658</v>
      </c>
      <c r="K16" s="17">
        <f>Bat_1st!K15</f>
        <v>1026480</v>
      </c>
      <c r="L16" s="617">
        <f>Bat_1st!L15</f>
        <v>0</v>
      </c>
      <c r="M16" s="17">
        <f>Bat_1st!M15</f>
        <v>0</v>
      </c>
    </row>
    <row r="17" spans="1:13" ht="14.45" x14ac:dyDescent="0.3">
      <c r="A17" s="575" t="s">
        <v>46</v>
      </c>
      <c r="B17" s="617">
        <f>Bat_1st!B16</f>
        <v>1646</v>
      </c>
      <c r="C17" s="17">
        <f>Bat_1st!C16</f>
        <v>24690000</v>
      </c>
      <c r="D17" s="617">
        <f>Bat_1st!D16</f>
        <v>1713</v>
      </c>
      <c r="E17" s="17">
        <f>Bat_1st!E16</f>
        <v>17674000</v>
      </c>
      <c r="F17" s="30">
        <f>Bat_1st!F16</f>
        <v>50</v>
      </c>
      <c r="G17" s="384">
        <f>Bat_1st!G16</f>
        <v>500000</v>
      </c>
      <c r="H17" s="30">
        <f>Bat_1st!H16</f>
        <v>41</v>
      </c>
      <c r="I17" s="384">
        <f>Bat_1st!I16</f>
        <v>410000</v>
      </c>
      <c r="J17" s="617">
        <f>Bat_1st!J16</f>
        <v>1200</v>
      </c>
      <c r="K17" s="17">
        <f>Bat_1st!K16</f>
        <v>1872000</v>
      </c>
      <c r="L17" s="617">
        <f>Bat_1st!L16</f>
        <v>1074</v>
      </c>
      <c r="M17" s="17">
        <f>Bat_1st!M16</f>
        <v>698100</v>
      </c>
    </row>
    <row r="18" spans="1:13" ht="14.45" x14ac:dyDescent="0.3">
      <c r="A18" s="575" t="s">
        <v>47</v>
      </c>
      <c r="B18" s="617">
        <f>Bat_1st!B17</f>
        <v>794</v>
      </c>
      <c r="C18" s="17">
        <f>Bat_1st!C17</f>
        <v>11910000</v>
      </c>
      <c r="D18" s="617">
        <f>Bat_1st!D17</f>
        <v>798</v>
      </c>
      <c r="E18" s="17">
        <f>Bat_1st!E17</f>
        <v>8402100</v>
      </c>
      <c r="F18" s="30">
        <f>Bat_1st!F17</f>
        <v>0</v>
      </c>
      <c r="G18" s="384">
        <f>Bat_1st!G17</f>
        <v>0</v>
      </c>
      <c r="H18" s="30">
        <f>Bat_1st!H17</f>
        <v>59</v>
      </c>
      <c r="I18" s="384">
        <f>Bat_1st!I17</f>
        <v>270000</v>
      </c>
      <c r="J18" s="617">
        <f>Bat_1st!J17</f>
        <v>700</v>
      </c>
      <c r="K18" s="17">
        <f>Bat_1st!K17</f>
        <v>1092000</v>
      </c>
      <c r="L18" s="617">
        <f>Bat_1st!L17</f>
        <v>700</v>
      </c>
      <c r="M18" s="17">
        <f>Bat_1st!M17</f>
        <v>864500</v>
      </c>
    </row>
    <row r="19" spans="1:13" ht="14.45" x14ac:dyDescent="0.3">
      <c r="A19" s="349" t="s">
        <v>397</v>
      </c>
      <c r="B19" s="477">
        <f t="shared" ref="B19:M19" si="2">SUM(B20:B25)</f>
        <v>7076</v>
      </c>
      <c r="C19" s="351">
        <f t="shared" si="2"/>
        <v>106140000</v>
      </c>
      <c r="D19" s="508">
        <f t="shared" si="2"/>
        <v>8066</v>
      </c>
      <c r="E19" s="351">
        <f t="shared" si="2"/>
        <v>85598200</v>
      </c>
      <c r="F19" s="477">
        <f t="shared" si="2"/>
        <v>1131</v>
      </c>
      <c r="G19" s="351">
        <f t="shared" si="2"/>
        <v>11310000</v>
      </c>
      <c r="H19" s="508">
        <f t="shared" si="2"/>
        <v>412</v>
      </c>
      <c r="I19" s="351">
        <f t="shared" si="2"/>
        <v>2224000</v>
      </c>
      <c r="J19" s="477">
        <f t="shared" si="2"/>
        <v>6000</v>
      </c>
      <c r="K19" s="351">
        <f t="shared" si="2"/>
        <v>9360000</v>
      </c>
      <c r="L19" s="350">
        <f t="shared" si="2"/>
        <v>5154</v>
      </c>
      <c r="M19" s="351">
        <f t="shared" si="2"/>
        <v>9818030</v>
      </c>
    </row>
    <row r="20" spans="1:13" ht="14.45" x14ac:dyDescent="0.3">
      <c r="A20" s="575" t="s">
        <v>71</v>
      </c>
      <c r="B20" s="575">
        <f>Bat_2nd!B13</f>
        <v>1213</v>
      </c>
      <c r="C20" s="17">
        <f>Bat_2nd!C13</f>
        <v>18195000</v>
      </c>
      <c r="D20" s="617">
        <f>Bat_2nd!D13</f>
        <v>1312</v>
      </c>
      <c r="E20" s="17">
        <f>Bat_2nd!E13</f>
        <v>14608600</v>
      </c>
      <c r="F20" s="30">
        <f>Bat_2nd!F13</f>
        <v>0</v>
      </c>
      <c r="G20" s="618">
        <f>Bat_2nd!G13</f>
        <v>0</v>
      </c>
      <c r="H20" s="30">
        <f>Bat_2nd!H13</f>
        <v>20</v>
      </c>
      <c r="I20" s="618">
        <f>Bat_2nd!I13</f>
        <v>100000</v>
      </c>
      <c r="J20" s="575">
        <f>Bat_2nd!J13</f>
        <v>700</v>
      </c>
      <c r="K20" s="17">
        <f>Bat_2nd!K13</f>
        <v>1092000</v>
      </c>
      <c r="L20" s="617">
        <f>Bat_2nd!L13</f>
        <v>520</v>
      </c>
      <c r="M20" s="17">
        <f>Bat_2nd!M13</f>
        <v>676000</v>
      </c>
    </row>
    <row r="21" spans="1:13" ht="14.45" x14ac:dyDescent="0.3">
      <c r="A21" s="575" t="s">
        <v>72</v>
      </c>
      <c r="B21" s="617">
        <f>Bat_2nd!B14</f>
        <v>983</v>
      </c>
      <c r="C21" s="17">
        <f>Bat_2nd!C14</f>
        <v>14745000</v>
      </c>
      <c r="D21" s="617">
        <f>Bat_2nd!D14</f>
        <v>1252</v>
      </c>
      <c r="E21" s="17">
        <f>Bat_2nd!E14</f>
        <v>13044600</v>
      </c>
      <c r="F21" s="30">
        <f>Bat_2nd!F14</f>
        <v>571</v>
      </c>
      <c r="G21" s="618">
        <f>Bat_2nd!G14</f>
        <v>5710000</v>
      </c>
      <c r="H21" s="30">
        <f>Bat_2nd!H14</f>
        <v>131</v>
      </c>
      <c r="I21" s="618">
        <f>Bat_2nd!I14</f>
        <v>630000</v>
      </c>
      <c r="J21" s="617">
        <f>Bat_2nd!J14</f>
        <v>1500</v>
      </c>
      <c r="K21" s="17">
        <f>Bat_2nd!K14</f>
        <v>2340000</v>
      </c>
      <c r="L21" s="617">
        <f>Bat_2nd!L14</f>
        <v>2227</v>
      </c>
      <c r="M21" s="17">
        <f>Bat_2nd!M14</f>
        <v>3184610</v>
      </c>
    </row>
    <row r="22" spans="1:13" ht="14.45" x14ac:dyDescent="0.3">
      <c r="A22" s="575" t="s">
        <v>73</v>
      </c>
      <c r="B22" s="617">
        <f>Bat_2nd!B15</f>
        <v>1369</v>
      </c>
      <c r="C22" s="17">
        <f>Bat_2nd!C15</f>
        <v>20535000</v>
      </c>
      <c r="D22" s="617">
        <f>Bat_2nd!D15</f>
        <v>1381</v>
      </c>
      <c r="E22" s="17">
        <f>Bat_2nd!E15</f>
        <v>15213900</v>
      </c>
      <c r="F22" s="30">
        <f>Bat_2nd!F15</f>
        <v>0</v>
      </c>
      <c r="G22" s="618">
        <f>Bat_2nd!G15</f>
        <v>0</v>
      </c>
      <c r="H22" s="30">
        <f>Bat_2nd!H15</f>
        <v>47</v>
      </c>
      <c r="I22" s="618">
        <f>Bat_2nd!I15</f>
        <v>235000</v>
      </c>
      <c r="J22" s="617">
        <f>Bat_2nd!J15</f>
        <v>0</v>
      </c>
      <c r="K22" s="17">
        <f>Bat_2nd!K15</f>
        <v>0</v>
      </c>
      <c r="L22" s="617">
        <f>Bat_2nd!L15</f>
        <v>0</v>
      </c>
      <c r="M22" s="17">
        <f>Bat_2nd!M15</f>
        <v>0</v>
      </c>
    </row>
    <row r="23" spans="1:13" ht="14.45" x14ac:dyDescent="0.3">
      <c r="A23" s="575" t="s">
        <v>74</v>
      </c>
      <c r="B23" s="617">
        <f>Bat_2nd!B16</f>
        <v>1452</v>
      </c>
      <c r="C23" s="17">
        <f>Bat_2nd!C16</f>
        <v>21780000</v>
      </c>
      <c r="D23" s="617">
        <f>Bat_2nd!D16</f>
        <v>1590</v>
      </c>
      <c r="E23" s="17">
        <f>Bat_2nd!E16</f>
        <v>16667400</v>
      </c>
      <c r="F23" s="30">
        <f>Bat_2nd!F16</f>
        <v>560</v>
      </c>
      <c r="G23" s="618">
        <f>Bat_2nd!G16</f>
        <v>5600000</v>
      </c>
      <c r="H23" s="30">
        <f>Bat_2nd!H16</f>
        <v>21</v>
      </c>
      <c r="I23" s="618">
        <f>Bat_2nd!I16</f>
        <v>105000</v>
      </c>
      <c r="J23" s="617">
        <f>Bat_2nd!J16</f>
        <v>1800</v>
      </c>
      <c r="K23" s="17">
        <f>Bat_2nd!K16</f>
        <v>2808000</v>
      </c>
      <c r="L23" s="617">
        <f>Bat_2nd!L16</f>
        <v>633</v>
      </c>
      <c r="M23" s="17">
        <f>Bat_2nd!M16</f>
        <v>2644200</v>
      </c>
    </row>
    <row r="24" spans="1:13" ht="14.45" x14ac:dyDescent="0.3">
      <c r="A24" s="575" t="s">
        <v>75</v>
      </c>
      <c r="B24" s="617">
        <f>Bat_2nd!B17</f>
        <v>1295</v>
      </c>
      <c r="C24" s="17">
        <f>Bat_2nd!C17</f>
        <v>19425000</v>
      </c>
      <c r="D24" s="617">
        <f>Bat_2nd!D17</f>
        <v>1620</v>
      </c>
      <c r="E24" s="17">
        <f>Bat_2nd!E17</f>
        <v>16687200</v>
      </c>
      <c r="F24" s="30">
        <f>Bat_2nd!F17</f>
        <v>0</v>
      </c>
      <c r="G24" s="618">
        <f>Bat_2nd!G17</f>
        <v>0</v>
      </c>
      <c r="H24" s="30">
        <f>Bat_2nd!H17</f>
        <v>83</v>
      </c>
      <c r="I24" s="618">
        <f>Bat_2nd!I17</f>
        <v>498000</v>
      </c>
      <c r="J24" s="617">
        <f>Bat_2nd!J17</f>
        <v>1100</v>
      </c>
      <c r="K24" s="17">
        <f>Bat_2nd!K17</f>
        <v>1716000</v>
      </c>
      <c r="L24" s="617">
        <f>Bat_2nd!L17</f>
        <v>1074</v>
      </c>
      <c r="M24" s="17">
        <f>Bat_2nd!M17</f>
        <v>2448720</v>
      </c>
    </row>
    <row r="25" spans="1:13" ht="14.45" x14ac:dyDescent="0.3">
      <c r="A25" s="575" t="s">
        <v>76</v>
      </c>
      <c r="B25" s="617">
        <f>Bat_2nd!B18</f>
        <v>764</v>
      </c>
      <c r="C25" s="17">
        <f>Bat_2nd!C18</f>
        <v>11460000</v>
      </c>
      <c r="D25" s="617">
        <f>Bat_2nd!D18</f>
        <v>911</v>
      </c>
      <c r="E25" s="17">
        <f>Bat_2nd!E18</f>
        <v>9376500</v>
      </c>
      <c r="F25" s="30">
        <f>Bat_2nd!F18</f>
        <v>0</v>
      </c>
      <c r="G25" s="618">
        <f>Bat_2nd!G18</f>
        <v>0</v>
      </c>
      <c r="H25" s="30">
        <f>Bat_2nd!H18</f>
        <v>110</v>
      </c>
      <c r="I25" s="618">
        <f>Bat_2nd!I18</f>
        <v>656000</v>
      </c>
      <c r="J25" s="617">
        <f>Bat_2nd!J18</f>
        <v>900</v>
      </c>
      <c r="K25" s="17">
        <f>Bat_2nd!K18</f>
        <v>1404000</v>
      </c>
      <c r="L25" s="617">
        <f>Bat_2nd!L18</f>
        <v>700</v>
      </c>
      <c r="M25" s="17">
        <f>Bat_2nd!M18</f>
        <v>864500</v>
      </c>
    </row>
    <row r="27" spans="1:13" s="507" customFormat="1" ht="24.75" customHeight="1" x14ac:dyDescent="0.25">
      <c r="A27" s="906" t="s">
        <v>3</v>
      </c>
      <c r="B27" s="896" t="s">
        <v>16</v>
      </c>
      <c r="C27" s="897"/>
      <c r="D27" s="897"/>
      <c r="E27" s="898"/>
      <c r="F27" s="913" t="s">
        <v>421</v>
      </c>
      <c r="G27" s="914"/>
      <c r="H27" s="914"/>
      <c r="I27" s="915"/>
      <c r="J27" s="896" t="s">
        <v>424</v>
      </c>
      <c r="K27" s="897"/>
      <c r="L27" s="897"/>
      <c r="M27" s="898"/>
    </row>
    <row r="28" spans="1:13" ht="13.5" customHeight="1" x14ac:dyDescent="0.25">
      <c r="A28" s="906"/>
      <c r="B28" s="899" t="s">
        <v>327</v>
      </c>
      <c r="C28" s="899"/>
      <c r="D28" s="900" t="s">
        <v>333</v>
      </c>
      <c r="E28" s="901"/>
      <c r="F28" s="899" t="s">
        <v>327</v>
      </c>
      <c r="G28" s="899"/>
      <c r="H28" s="900" t="s">
        <v>333</v>
      </c>
      <c r="I28" s="901"/>
      <c r="J28" s="899" t="s">
        <v>327</v>
      </c>
      <c r="K28" s="899"/>
      <c r="L28" s="900" t="s">
        <v>333</v>
      </c>
      <c r="M28" s="901"/>
    </row>
    <row r="29" spans="1:13" ht="45" customHeight="1" x14ac:dyDescent="0.25">
      <c r="A29" s="906"/>
      <c r="B29" s="575" t="s">
        <v>330</v>
      </c>
      <c r="C29" s="476" t="s">
        <v>60</v>
      </c>
      <c r="D29" s="595" t="s">
        <v>330</v>
      </c>
      <c r="E29" s="17" t="s">
        <v>305</v>
      </c>
      <c r="F29" s="575" t="s">
        <v>253</v>
      </c>
      <c r="G29" s="574" t="s">
        <v>60</v>
      </c>
      <c r="H29" s="575" t="s">
        <v>253</v>
      </c>
      <c r="I29" s="17" t="s">
        <v>305</v>
      </c>
      <c r="J29" s="575" t="s">
        <v>310</v>
      </c>
      <c r="K29" s="476" t="s">
        <v>60</v>
      </c>
      <c r="L29" s="575" t="s">
        <v>310</v>
      </c>
      <c r="M29" s="17" t="s">
        <v>305</v>
      </c>
    </row>
    <row r="30" spans="1:13" s="590" customFormat="1" x14ac:dyDescent="0.25">
      <c r="A30" s="591" t="s">
        <v>14</v>
      </c>
      <c r="B30" s="592">
        <f>B31+B38</f>
        <v>3890</v>
      </c>
      <c r="C30" s="593">
        <f>C31+C38</f>
        <v>23340000</v>
      </c>
      <c r="D30" s="596">
        <f t="shared" ref="D30" si="3">D31+D38</f>
        <v>5155</v>
      </c>
      <c r="E30" s="593">
        <f t="shared" ref="E30" si="4">E31+E38</f>
        <v>30930000</v>
      </c>
      <c r="F30" s="593">
        <f t="shared" ref="F30" si="5">F31+F38</f>
        <v>15</v>
      </c>
      <c r="G30" s="593">
        <f t="shared" ref="G30" si="6">G31+G38</f>
        <v>21205280</v>
      </c>
      <c r="H30" s="596">
        <f t="shared" ref="H30" si="7">H31+H38</f>
        <v>0</v>
      </c>
      <c r="I30" s="593">
        <f t="shared" ref="I30" si="8">I31+I38</f>
        <v>0</v>
      </c>
      <c r="J30" s="593">
        <f t="shared" ref="J30" si="9">J31+J38</f>
        <v>0</v>
      </c>
      <c r="K30" s="593">
        <f t="shared" ref="K30" si="10">K31+K38</f>
        <v>0</v>
      </c>
      <c r="L30" s="596">
        <f t="shared" ref="L30" si="11">L31+L38</f>
        <v>5372</v>
      </c>
      <c r="M30" s="593">
        <f t="shared" ref="M30" si="12">M31+M38</f>
        <v>21387000</v>
      </c>
    </row>
    <row r="31" spans="1:13" x14ac:dyDescent="0.25">
      <c r="A31" s="664" t="s">
        <v>278</v>
      </c>
      <c r="B31" s="477">
        <f t="shared" ref="B31:M31" si="13">SUM(B32:B37)</f>
        <v>2021</v>
      </c>
      <c r="C31" s="351">
        <f t="shared" si="13"/>
        <v>12126000</v>
      </c>
      <c r="D31" s="508">
        <f t="shared" si="13"/>
        <v>2596</v>
      </c>
      <c r="E31" s="351">
        <f t="shared" si="13"/>
        <v>15576000</v>
      </c>
      <c r="F31" s="477">
        <f t="shared" si="13"/>
        <v>15</v>
      </c>
      <c r="G31" s="351">
        <f t="shared" si="13"/>
        <v>21205280</v>
      </c>
      <c r="H31" s="477">
        <f t="shared" si="13"/>
        <v>0</v>
      </c>
      <c r="I31" s="351">
        <f t="shared" si="13"/>
        <v>0</v>
      </c>
      <c r="J31" s="477">
        <f t="shared" si="13"/>
        <v>0</v>
      </c>
      <c r="K31" s="351">
        <f t="shared" si="13"/>
        <v>0</v>
      </c>
      <c r="L31" s="350">
        <f t="shared" si="13"/>
        <v>3517</v>
      </c>
      <c r="M31" s="351">
        <f t="shared" si="13"/>
        <v>13873000</v>
      </c>
    </row>
    <row r="32" spans="1:13" x14ac:dyDescent="0.25">
      <c r="A32" s="663" t="s">
        <v>42</v>
      </c>
      <c r="B32" s="30">
        <f>Bat_1st!B23</f>
        <v>338</v>
      </c>
      <c r="C32" s="618">
        <f>Bat_1st!C23</f>
        <v>2028000</v>
      </c>
      <c r="D32" s="30">
        <f>Bat_1st!D23</f>
        <v>429</v>
      </c>
      <c r="E32" s="618">
        <f>Bat_1st!E23</f>
        <v>2574000</v>
      </c>
      <c r="F32" s="260">
        <f>Bat_1st!F23</f>
        <v>3</v>
      </c>
      <c r="G32" s="284">
        <f>Bat_1st!G23</f>
        <v>4550000</v>
      </c>
      <c r="H32" s="260">
        <f>Bat_1st!H23</f>
        <v>0</v>
      </c>
      <c r="I32" s="284">
        <f>Bat_1st!I23</f>
        <v>0</v>
      </c>
      <c r="J32" s="478">
        <f>Bat_1st!J23</f>
        <v>0</v>
      </c>
      <c r="K32" s="17">
        <f>Bat_1st!K23</f>
        <v>0</v>
      </c>
      <c r="L32" s="478">
        <f>Bat_1st!L23</f>
        <v>152</v>
      </c>
      <c r="M32" s="17">
        <f>Bat_1st!M23</f>
        <v>620000</v>
      </c>
    </row>
    <row r="33" spans="1:13" x14ac:dyDescent="0.25">
      <c r="A33" s="663" t="s">
        <v>43</v>
      </c>
      <c r="B33" s="30">
        <f>Bat_1st!B24</f>
        <v>343</v>
      </c>
      <c r="C33" s="618">
        <f>Bat_1st!C24</f>
        <v>2058000</v>
      </c>
      <c r="D33" s="30">
        <f>Bat_1st!D24</f>
        <v>421</v>
      </c>
      <c r="E33" s="618">
        <f>Bat_1st!E24</f>
        <v>2526000</v>
      </c>
      <c r="F33" s="260">
        <f>Bat_1st!F24</f>
        <v>2</v>
      </c>
      <c r="G33" s="284">
        <f>Bat_1st!G24</f>
        <v>6500000</v>
      </c>
      <c r="H33" s="260">
        <f>Bat_1st!H24</f>
        <v>0</v>
      </c>
      <c r="I33" s="284">
        <f>Bat_1st!I24</f>
        <v>0</v>
      </c>
      <c r="J33" s="478">
        <f>Bat_1st!J24</f>
        <v>0</v>
      </c>
      <c r="K33" s="17">
        <f>Bat_1st!K24</f>
        <v>0</v>
      </c>
      <c r="L33" s="478">
        <f>Bat_1st!L24</f>
        <v>821</v>
      </c>
      <c r="M33" s="17">
        <f>Bat_1st!M24</f>
        <v>3163000</v>
      </c>
    </row>
    <row r="34" spans="1:13" x14ac:dyDescent="0.25">
      <c r="A34" s="663" t="s">
        <v>44</v>
      </c>
      <c r="B34" s="30">
        <f>Bat_1st!B25</f>
        <v>321</v>
      </c>
      <c r="C34" s="618">
        <f>Bat_1st!C25</f>
        <v>1926000</v>
      </c>
      <c r="D34" s="30">
        <f>Bat_1st!D25</f>
        <v>381</v>
      </c>
      <c r="E34" s="618">
        <f>Bat_1st!E25</f>
        <v>2286000</v>
      </c>
      <c r="F34" s="260">
        <f>Bat_1st!F25</f>
        <v>2</v>
      </c>
      <c r="G34" s="284">
        <f>Bat_1st!G25</f>
        <v>1805280</v>
      </c>
      <c r="H34" s="260">
        <f>Bat_1st!H25</f>
        <v>0</v>
      </c>
      <c r="I34" s="284">
        <f>Bat_1st!I25</f>
        <v>0</v>
      </c>
      <c r="J34" s="478">
        <f>Bat_1st!J25</f>
        <v>0</v>
      </c>
      <c r="K34" s="17">
        <f>Bat_1st!K25</f>
        <v>0</v>
      </c>
      <c r="L34" s="478">
        <f>Bat_1st!L25</f>
        <v>992</v>
      </c>
      <c r="M34" s="17">
        <f>Bat_1st!M25</f>
        <v>3951000</v>
      </c>
    </row>
    <row r="35" spans="1:13" x14ac:dyDescent="0.25">
      <c r="A35" s="663" t="s">
        <v>45</v>
      </c>
      <c r="B35" s="30">
        <f>Bat_1st!B26</f>
        <v>305</v>
      </c>
      <c r="C35" s="618">
        <f>Bat_1st!C26</f>
        <v>1830000</v>
      </c>
      <c r="D35" s="30">
        <f>Bat_1st!D26</f>
        <v>299</v>
      </c>
      <c r="E35" s="618">
        <f>Bat_1st!E26</f>
        <v>1794000</v>
      </c>
      <c r="F35" s="260">
        <f>Bat_1st!F26</f>
        <v>4</v>
      </c>
      <c r="G35" s="284">
        <f>Bat_1st!G26</f>
        <v>3600000</v>
      </c>
      <c r="H35" s="260">
        <f>Bat_1st!H26</f>
        <v>0</v>
      </c>
      <c r="I35" s="284">
        <f>Bat_1st!I26</f>
        <v>0</v>
      </c>
      <c r="J35" s="478">
        <f>Bat_1st!J26</f>
        <v>0</v>
      </c>
      <c r="K35" s="17">
        <f>Bat_1st!K26</f>
        <v>0</v>
      </c>
      <c r="L35" s="478">
        <f>Bat_1st!L26</f>
        <v>63</v>
      </c>
      <c r="M35" s="17">
        <f>Bat_1st!M26</f>
        <v>226500</v>
      </c>
    </row>
    <row r="36" spans="1:13" x14ac:dyDescent="0.25">
      <c r="A36" s="663" t="s">
        <v>46</v>
      </c>
      <c r="B36" s="30">
        <f>Bat_1st!B27</f>
        <v>344</v>
      </c>
      <c r="C36" s="618">
        <f>Bat_1st!C27</f>
        <v>2064000</v>
      </c>
      <c r="D36" s="30">
        <f>Bat_1st!D27</f>
        <v>569</v>
      </c>
      <c r="E36" s="618">
        <f>Bat_1st!E27</f>
        <v>3414000</v>
      </c>
      <c r="F36" s="260">
        <f>Bat_1st!F27</f>
        <v>2</v>
      </c>
      <c r="G36" s="284">
        <f>Bat_1st!G27</f>
        <v>2750000</v>
      </c>
      <c r="H36" s="260">
        <f>Bat_1st!H27</f>
        <v>0</v>
      </c>
      <c r="I36" s="284">
        <f>Bat_1st!I27</f>
        <v>0</v>
      </c>
      <c r="J36" s="478">
        <f>Bat_1st!J27</f>
        <v>0</v>
      </c>
      <c r="K36" s="17">
        <f>Bat_1st!K27</f>
        <v>0</v>
      </c>
      <c r="L36" s="478">
        <f>Bat_1st!L27</f>
        <v>1270</v>
      </c>
      <c r="M36" s="17">
        <f>Bat_1st!M27</f>
        <v>5048500</v>
      </c>
    </row>
    <row r="37" spans="1:13" x14ac:dyDescent="0.25">
      <c r="A37" s="663" t="s">
        <v>47</v>
      </c>
      <c r="B37" s="30">
        <f>Bat_1st!B28</f>
        <v>370</v>
      </c>
      <c r="C37" s="618">
        <f>Bat_1st!C28</f>
        <v>2220000</v>
      </c>
      <c r="D37" s="30">
        <f>Bat_1st!D28</f>
        <v>497</v>
      </c>
      <c r="E37" s="618">
        <f>Bat_1st!E28</f>
        <v>2982000</v>
      </c>
      <c r="F37" s="260">
        <f>Bat_1st!F28</f>
        <v>2</v>
      </c>
      <c r="G37" s="284">
        <f>Bat_1st!G28</f>
        <v>2000000</v>
      </c>
      <c r="H37" s="260">
        <f>Bat_1st!H28</f>
        <v>0</v>
      </c>
      <c r="I37" s="284">
        <f>Bat_1st!I28</f>
        <v>0</v>
      </c>
      <c r="J37" s="478">
        <f>Bat_1st!J28</f>
        <v>0</v>
      </c>
      <c r="K37" s="17">
        <f>Bat_1st!K28</f>
        <v>0</v>
      </c>
      <c r="L37" s="478">
        <f>Bat_1st!L28</f>
        <v>219</v>
      </c>
      <c r="M37" s="17">
        <f>Bat_1st!M28</f>
        <v>864000</v>
      </c>
    </row>
    <row r="38" spans="1:13" x14ac:dyDescent="0.25">
      <c r="A38" s="664" t="s">
        <v>397</v>
      </c>
      <c r="B38" s="477">
        <f t="shared" ref="B38:I38" si="14">SUM(B39:B44)</f>
        <v>1869</v>
      </c>
      <c r="C38" s="351">
        <f t="shared" si="14"/>
        <v>11214000</v>
      </c>
      <c r="D38" s="508">
        <f t="shared" si="14"/>
        <v>2559</v>
      </c>
      <c r="E38" s="351">
        <f t="shared" si="14"/>
        <v>15354000</v>
      </c>
      <c r="F38" s="477">
        <f t="shared" si="14"/>
        <v>0</v>
      </c>
      <c r="G38" s="351">
        <f t="shared" si="14"/>
        <v>0</v>
      </c>
      <c r="H38" s="477">
        <f t="shared" si="14"/>
        <v>0</v>
      </c>
      <c r="I38" s="351">
        <f t="shared" si="14"/>
        <v>0</v>
      </c>
      <c r="J38" s="477">
        <f t="shared" ref="J38:M38" si="15">SUM(J39:J44)</f>
        <v>0</v>
      </c>
      <c r="K38" s="351">
        <f t="shared" si="15"/>
        <v>0</v>
      </c>
      <c r="L38" s="350">
        <f t="shared" si="15"/>
        <v>1855</v>
      </c>
      <c r="M38" s="351">
        <f t="shared" si="15"/>
        <v>7514000</v>
      </c>
    </row>
    <row r="39" spans="1:13" x14ac:dyDescent="0.25">
      <c r="A39" s="663" t="s">
        <v>71</v>
      </c>
      <c r="B39" s="30">
        <f>Bat_2nd!B25</f>
        <v>310</v>
      </c>
      <c r="C39" s="618">
        <f>Bat_2nd!C25</f>
        <v>1860000</v>
      </c>
      <c r="D39" s="30">
        <f>Bat_2nd!D25</f>
        <v>466</v>
      </c>
      <c r="E39" s="618">
        <f>Bat_2nd!E25</f>
        <v>2796000</v>
      </c>
      <c r="F39" s="233"/>
      <c r="G39" s="234"/>
      <c r="H39" s="30"/>
      <c r="I39" s="384"/>
      <c r="J39" s="478"/>
      <c r="K39" s="17"/>
      <c r="L39" s="478">
        <f>Bat_2nd!L25</f>
        <v>33</v>
      </c>
      <c r="M39" s="17">
        <f>Bat_2nd!M25</f>
        <v>142000</v>
      </c>
    </row>
    <row r="40" spans="1:13" x14ac:dyDescent="0.25">
      <c r="A40" s="663" t="s">
        <v>72</v>
      </c>
      <c r="B40" s="30">
        <f>Bat_2nd!B26</f>
        <v>300</v>
      </c>
      <c r="C40" s="618">
        <f>Bat_2nd!C26</f>
        <v>1800000</v>
      </c>
      <c r="D40" s="30">
        <f>Bat_2nd!D26</f>
        <v>455</v>
      </c>
      <c r="E40" s="618">
        <f>Bat_2nd!E26</f>
        <v>2730000</v>
      </c>
      <c r="F40" s="233"/>
      <c r="G40" s="234"/>
      <c r="H40" s="30"/>
      <c r="I40" s="384"/>
      <c r="J40" s="478"/>
      <c r="K40" s="17"/>
      <c r="L40" s="478">
        <f>Bat_2nd!L26</f>
        <v>995</v>
      </c>
      <c r="M40" s="17">
        <f>Bat_2nd!M26</f>
        <v>4233000</v>
      </c>
    </row>
    <row r="41" spans="1:13" x14ac:dyDescent="0.25">
      <c r="A41" s="663" t="s">
        <v>73</v>
      </c>
      <c r="B41" s="30">
        <f>Bat_2nd!B27</f>
        <v>305</v>
      </c>
      <c r="C41" s="618">
        <f>Bat_2nd!C27</f>
        <v>1830000</v>
      </c>
      <c r="D41" s="30">
        <f>Bat_2nd!D27</f>
        <v>293</v>
      </c>
      <c r="E41" s="618">
        <f>Bat_2nd!E27</f>
        <v>1758000</v>
      </c>
      <c r="F41" s="233"/>
      <c r="G41" s="234"/>
      <c r="H41" s="30"/>
      <c r="I41" s="384"/>
      <c r="J41" s="478"/>
      <c r="K41" s="17"/>
      <c r="L41" s="478">
        <f>Bat_2nd!L27</f>
        <v>158</v>
      </c>
      <c r="M41" s="17">
        <f>Bat_2nd!M27</f>
        <v>542500</v>
      </c>
    </row>
    <row r="42" spans="1:13" x14ac:dyDescent="0.25">
      <c r="A42" s="663" t="s">
        <v>74</v>
      </c>
      <c r="B42" s="30">
        <f>Bat_2nd!B28</f>
        <v>346</v>
      </c>
      <c r="C42" s="618">
        <f>Bat_2nd!C28</f>
        <v>2076000</v>
      </c>
      <c r="D42" s="30">
        <f>Bat_2nd!D28</f>
        <v>428</v>
      </c>
      <c r="E42" s="618">
        <f>Bat_2nd!E28</f>
        <v>2568000</v>
      </c>
      <c r="F42" s="233"/>
      <c r="G42" s="234"/>
      <c r="H42" s="30"/>
      <c r="I42" s="384"/>
      <c r="J42" s="478"/>
      <c r="K42" s="17"/>
      <c r="L42" s="478">
        <f>Bat_2nd!L28</f>
        <v>305</v>
      </c>
      <c r="M42" s="17">
        <f>Bat_2nd!M28</f>
        <v>1109500</v>
      </c>
    </row>
    <row r="43" spans="1:13" x14ac:dyDescent="0.25">
      <c r="A43" s="663" t="s">
        <v>75</v>
      </c>
      <c r="B43" s="30">
        <f>Bat_2nd!B29</f>
        <v>308</v>
      </c>
      <c r="C43" s="618">
        <f>Bat_2nd!C29</f>
        <v>1848000</v>
      </c>
      <c r="D43" s="30">
        <f>Bat_2nd!D29</f>
        <v>380</v>
      </c>
      <c r="E43" s="618">
        <f>Bat_2nd!E29</f>
        <v>2280000</v>
      </c>
      <c r="F43" s="233"/>
      <c r="G43" s="234"/>
      <c r="H43" s="30"/>
      <c r="I43" s="384"/>
      <c r="J43" s="478"/>
      <c r="K43" s="17"/>
      <c r="L43" s="478">
        <f>Bat_2nd!L29</f>
        <v>175</v>
      </c>
      <c r="M43" s="17">
        <f>Bat_2nd!M29</f>
        <v>719000</v>
      </c>
    </row>
    <row r="44" spans="1:13" x14ac:dyDescent="0.25">
      <c r="A44" s="663" t="s">
        <v>76</v>
      </c>
      <c r="B44" s="30">
        <f>Bat_2nd!B30</f>
        <v>300</v>
      </c>
      <c r="C44" s="618">
        <f>Bat_2nd!C30</f>
        <v>1800000</v>
      </c>
      <c r="D44" s="30">
        <f>Bat_2nd!D30</f>
        <v>537</v>
      </c>
      <c r="E44" s="618">
        <f>Bat_2nd!E30</f>
        <v>3222000</v>
      </c>
      <c r="F44" s="233"/>
      <c r="G44" s="234"/>
      <c r="H44" s="30"/>
      <c r="I44" s="384"/>
      <c r="J44" s="478"/>
      <c r="K44" s="17"/>
      <c r="L44" s="478">
        <f>Bat_2nd!L30</f>
        <v>189</v>
      </c>
      <c r="M44" s="17">
        <f>Bat_2nd!M30</f>
        <v>768000</v>
      </c>
    </row>
    <row r="45" spans="1:13" x14ac:dyDescent="0.25">
      <c r="A45" s="577"/>
      <c r="B45" s="117"/>
      <c r="C45" s="58"/>
      <c r="D45" s="597"/>
      <c r="E45" s="58"/>
      <c r="F45" s="251"/>
      <c r="G45" s="252"/>
      <c r="H45" s="117"/>
      <c r="I45" s="510"/>
      <c r="J45" s="512"/>
      <c r="K45" s="513"/>
      <c r="L45" s="514"/>
      <c r="M45" s="475"/>
    </row>
    <row r="47" spans="1:13" s="507" customFormat="1" ht="28.5" customHeight="1" x14ac:dyDescent="0.25">
      <c r="A47" s="906" t="s">
        <v>3</v>
      </c>
      <c r="B47" s="896" t="s">
        <v>331</v>
      </c>
      <c r="C47" s="897"/>
      <c r="D47" s="897"/>
      <c r="E47" s="898"/>
      <c r="F47" s="896" t="s">
        <v>385</v>
      </c>
      <c r="G47" s="897"/>
      <c r="H47" s="897"/>
      <c r="I47" s="898"/>
      <c r="J47" s="896" t="s">
        <v>376</v>
      </c>
      <c r="K47" s="897"/>
      <c r="L47" s="897"/>
      <c r="M47" s="898"/>
    </row>
    <row r="48" spans="1:13" ht="24.75" customHeight="1" x14ac:dyDescent="0.25">
      <c r="A48" s="906"/>
      <c r="B48" s="899" t="s">
        <v>327</v>
      </c>
      <c r="C48" s="899"/>
      <c r="D48" s="900" t="s">
        <v>333</v>
      </c>
      <c r="E48" s="901"/>
      <c r="F48" s="899" t="s">
        <v>327</v>
      </c>
      <c r="G48" s="899"/>
      <c r="H48" s="900" t="s">
        <v>333</v>
      </c>
      <c r="I48" s="901"/>
      <c r="J48" s="907" t="s">
        <v>60</v>
      </c>
      <c r="K48" s="908"/>
      <c r="L48" s="907" t="s">
        <v>305</v>
      </c>
      <c r="M48" s="908"/>
    </row>
    <row r="49" spans="1:14" ht="45" customHeight="1" x14ac:dyDescent="0.25">
      <c r="A49" s="906"/>
      <c r="B49" s="575" t="s">
        <v>308</v>
      </c>
      <c r="C49" s="476" t="s">
        <v>60</v>
      </c>
      <c r="D49" s="595" t="s">
        <v>332</v>
      </c>
      <c r="E49" s="17" t="s">
        <v>305</v>
      </c>
      <c r="F49" s="575" t="s">
        <v>308</v>
      </c>
      <c r="G49" s="476" t="s">
        <v>60</v>
      </c>
      <c r="H49" s="557" t="s">
        <v>332</v>
      </c>
      <c r="I49" s="17" t="s">
        <v>305</v>
      </c>
      <c r="J49" s="909"/>
      <c r="K49" s="910"/>
      <c r="L49" s="909"/>
      <c r="M49" s="910"/>
    </row>
    <row r="50" spans="1:14" s="590" customFormat="1" x14ac:dyDescent="0.25">
      <c r="A50" s="591" t="s">
        <v>14</v>
      </c>
      <c r="B50" s="592">
        <f>B51+B58</f>
        <v>0</v>
      </c>
      <c r="C50" s="593">
        <f>C51+C58</f>
        <v>0</v>
      </c>
      <c r="D50" s="596">
        <f t="shared" ref="D50" si="16">D51+D58</f>
        <v>2</v>
      </c>
      <c r="E50" s="593">
        <f t="shared" ref="E50" si="17">E51+E58</f>
        <v>10000</v>
      </c>
      <c r="F50" s="593">
        <f t="shared" ref="F50" si="18">F51+F58</f>
        <v>0</v>
      </c>
      <c r="G50" s="593">
        <f t="shared" ref="G50" si="19">G51+G58</f>
        <v>0</v>
      </c>
      <c r="H50" s="596">
        <f t="shared" ref="H50" si="20">H51+H58</f>
        <v>0</v>
      </c>
      <c r="I50" s="593">
        <f t="shared" ref="I50" si="21">I51+I58</f>
        <v>0</v>
      </c>
      <c r="J50" s="931">
        <f t="shared" ref="J50" si="22">J51+J58</f>
        <v>322010280</v>
      </c>
      <c r="K50" s="932"/>
      <c r="L50" s="933">
        <f t="shared" ref="L50" si="23">L51+L58</f>
        <v>260830343</v>
      </c>
      <c r="M50" s="934"/>
    </row>
    <row r="51" spans="1:14" x14ac:dyDescent="0.25">
      <c r="A51" s="349" t="s">
        <v>278</v>
      </c>
      <c r="B51" s="477">
        <f>SUM(B52:B57)</f>
        <v>0</v>
      </c>
      <c r="C51" s="351">
        <f>SUM(C52:C57)</f>
        <v>0</v>
      </c>
      <c r="D51" s="508">
        <f>SUM(D52:D57)</f>
        <v>2</v>
      </c>
      <c r="E51" s="351">
        <f>SUM(E52:E57)</f>
        <v>10000</v>
      </c>
      <c r="F51" s="477"/>
      <c r="G51" s="351"/>
      <c r="H51" s="477">
        <f>SUM(H52:H57)</f>
        <v>0</v>
      </c>
      <c r="I51" s="578">
        <f>SUM(I52:I57)</f>
        <v>0</v>
      </c>
      <c r="J51" s="904">
        <f>SUM(J52:K57)</f>
        <v>183986280</v>
      </c>
      <c r="K51" s="905"/>
      <c r="L51" s="904">
        <f>SUM(L52:M57)</f>
        <v>140322113</v>
      </c>
      <c r="M51" s="905"/>
      <c r="N51" s="563"/>
    </row>
    <row r="52" spans="1:14" x14ac:dyDescent="0.25">
      <c r="A52" s="575" t="s">
        <v>42</v>
      </c>
      <c r="B52" s="575">
        <f>Bat_1st!B34</f>
        <v>0</v>
      </c>
      <c r="C52" s="17">
        <f>Bat_1st!C34</f>
        <v>0</v>
      </c>
      <c r="D52" s="617">
        <f>Bat_1st!D34</f>
        <v>0</v>
      </c>
      <c r="E52" s="17">
        <f>Bat_1st!E34</f>
        <v>0</v>
      </c>
      <c r="F52" s="575">
        <f>Bat_1st!F34</f>
        <v>0</v>
      </c>
      <c r="G52" s="17">
        <f>Bat_1st!G34</f>
        <v>0</v>
      </c>
      <c r="H52" s="617">
        <f>Bat_1st!H34</f>
        <v>0</v>
      </c>
      <c r="I52" s="17">
        <f>Bat_1st!I34</f>
        <v>0</v>
      </c>
      <c r="J52" s="902">
        <f t="shared" ref="J52:J57" si="24">C13+G13+K13+C32+G32+K32+C52+G52</f>
        <v>18292520</v>
      </c>
      <c r="K52" s="903"/>
      <c r="L52" s="902">
        <f t="shared" ref="L52:L57" si="25">E13+I13+M13+E32+I32+M32+E52+I52</f>
        <v>12143315</v>
      </c>
      <c r="M52" s="903"/>
    </row>
    <row r="53" spans="1:14" x14ac:dyDescent="0.25">
      <c r="A53" s="575" t="s">
        <v>43</v>
      </c>
      <c r="B53" s="617">
        <f>Bat_1st!B35</f>
        <v>0</v>
      </c>
      <c r="C53" s="17">
        <f>Bat_1st!C35</f>
        <v>0</v>
      </c>
      <c r="D53" s="617">
        <f>Bat_1st!D35</f>
        <v>2</v>
      </c>
      <c r="E53" s="17">
        <f>Bat_1st!E35</f>
        <v>10000</v>
      </c>
      <c r="F53" s="617">
        <f>Bat_1st!F35</f>
        <v>0</v>
      </c>
      <c r="G53" s="17">
        <f>Bat_1st!G35</f>
        <v>0</v>
      </c>
      <c r="H53" s="617">
        <f>Bat_1st!H35</f>
        <v>0</v>
      </c>
      <c r="I53" s="17">
        <f>Bat_1st!I35</f>
        <v>0</v>
      </c>
      <c r="J53" s="902">
        <f t="shared" si="24"/>
        <v>56082000</v>
      </c>
      <c r="K53" s="903"/>
      <c r="L53" s="902">
        <f t="shared" si="25"/>
        <v>41675218</v>
      </c>
      <c r="M53" s="903"/>
    </row>
    <row r="54" spans="1:14" x14ac:dyDescent="0.25">
      <c r="A54" s="575" t="s">
        <v>44</v>
      </c>
      <c r="B54" s="617">
        <f>Bat_1st!B36</f>
        <v>0</v>
      </c>
      <c r="C54" s="17">
        <f>Bat_1st!C36</f>
        <v>0</v>
      </c>
      <c r="D54" s="617">
        <f>Bat_1st!D36</f>
        <v>0</v>
      </c>
      <c r="E54" s="17">
        <f>Bat_1st!E36</f>
        <v>0</v>
      </c>
      <c r="F54" s="617">
        <f>Bat_1st!F36</f>
        <v>0</v>
      </c>
      <c r="G54" s="17">
        <f>Bat_1st!G36</f>
        <v>0</v>
      </c>
      <c r="H54" s="617">
        <f>Bat_1st!H36</f>
        <v>0</v>
      </c>
      <c r="I54" s="17">
        <f>Bat_1st!I36</f>
        <v>0</v>
      </c>
      <c r="J54" s="902">
        <f t="shared" si="24"/>
        <v>32477280</v>
      </c>
      <c r="K54" s="903"/>
      <c r="L54" s="902">
        <f t="shared" si="25"/>
        <v>29288600</v>
      </c>
      <c r="M54" s="903"/>
    </row>
    <row r="55" spans="1:14" x14ac:dyDescent="0.25">
      <c r="A55" s="575" t="s">
        <v>45</v>
      </c>
      <c r="B55" s="617">
        <f>Bat_1st!B37</f>
        <v>0</v>
      </c>
      <c r="C55" s="17">
        <f>Bat_1st!C37</f>
        <v>0</v>
      </c>
      <c r="D55" s="617">
        <f>Bat_1st!D37</f>
        <v>0</v>
      </c>
      <c r="E55" s="17">
        <f>Bat_1st!E37</f>
        <v>0</v>
      </c>
      <c r="F55" s="617">
        <f>Bat_1st!F37</f>
        <v>0</v>
      </c>
      <c r="G55" s="17">
        <f>Bat_1st!G37</f>
        <v>0</v>
      </c>
      <c r="H55" s="617">
        <f>Bat_1st!H37</f>
        <v>0</v>
      </c>
      <c r="I55" s="17">
        <f>Bat_1st!I37</f>
        <v>0</v>
      </c>
      <c r="J55" s="902">
        <f t="shared" si="24"/>
        <v>28036480</v>
      </c>
      <c r="K55" s="903"/>
      <c r="L55" s="902">
        <f t="shared" si="25"/>
        <v>16587780</v>
      </c>
      <c r="M55" s="903"/>
    </row>
    <row r="56" spans="1:14" x14ac:dyDescent="0.25">
      <c r="A56" s="575" t="s">
        <v>46</v>
      </c>
      <c r="B56" s="617">
        <f>Bat_1st!B38</f>
        <v>0</v>
      </c>
      <c r="C56" s="17">
        <f>Bat_1st!C38</f>
        <v>0</v>
      </c>
      <c r="D56" s="617">
        <f>Bat_1st!D38</f>
        <v>0</v>
      </c>
      <c r="E56" s="17">
        <f>Bat_1st!E38</f>
        <v>0</v>
      </c>
      <c r="F56" s="617">
        <f>Bat_1st!F38</f>
        <v>0</v>
      </c>
      <c r="G56" s="17">
        <f>Bat_1st!G38</f>
        <v>0</v>
      </c>
      <c r="H56" s="617">
        <f>Bat_1st!H38</f>
        <v>0</v>
      </c>
      <c r="I56" s="17">
        <f>Bat_1st!I38</f>
        <v>0</v>
      </c>
      <c r="J56" s="902">
        <f t="shared" si="24"/>
        <v>31876000</v>
      </c>
      <c r="K56" s="903"/>
      <c r="L56" s="902">
        <f t="shared" si="25"/>
        <v>27244600</v>
      </c>
      <c r="M56" s="903"/>
    </row>
    <row r="57" spans="1:14" x14ac:dyDescent="0.25">
      <c r="A57" s="575" t="s">
        <v>47</v>
      </c>
      <c r="B57" s="617">
        <f>Bat_1st!B39</f>
        <v>0</v>
      </c>
      <c r="C57" s="17">
        <f>Bat_1st!C39</f>
        <v>0</v>
      </c>
      <c r="D57" s="617">
        <f>Bat_1st!D39</f>
        <v>0</v>
      </c>
      <c r="E57" s="17">
        <f>Bat_1st!E39</f>
        <v>0</v>
      </c>
      <c r="F57" s="617">
        <f>Bat_1st!F39</f>
        <v>0</v>
      </c>
      <c r="G57" s="17">
        <f>Bat_1st!G39</f>
        <v>0</v>
      </c>
      <c r="H57" s="617">
        <f>Bat_1st!H39</f>
        <v>0</v>
      </c>
      <c r="I57" s="17">
        <f>Bat_1st!I39</f>
        <v>0</v>
      </c>
      <c r="J57" s="902">
        <f t="shared" si="24"/>
        <v>17222000</v>
      </c>
      <c r="K57" s="903"/>
      <c r="L57" s="902">
        <f t="shared" si="25"/>
        <v>13382600</v>
      </c>
      <c r="M57" s="903"/>
    </row>
    <row r="58" spans="1:14" x14ac:dyDescent="0.25">
      <c r="A58" s="349" t="s">
        <v>397</v>
      </c>
      <c r="B58" s="477">
        <f t="shared" ref="B58:E58" si="26">SUM(B59:B64)</f>
        <v>0</v>
      </c>
      <c r="C58" s="351">
        <f t="shared" si="26"/>
        <v>0</v>
      </c>
      <c r="D58" s="508">
        <f t="shared" si="26"/>
        <v>0</v>
      </c>
      <c r="E58" s="351">
        <f t="shared" si="26"/>
        <v>0</v>
      </c>
      <c r="F58" s="477">
        <f t="shared" ref="F58:H58" si="27">SUM(F59:F64)</f>
        <v>0</v>
      </c>
      <c r="G58" s="351">
        <f t="shared" si="27"/>
        <v>0</v>
      </c>
      <c r="H58" s="508">
        <f t="shared" si="27"/>
        <v>0</v>
      </c>
      <c r="I58" s="351">
        <f>SUM(I59:I64)</f>
        <v>0</v>
      </c>
      <c r="J58" s="904">
        <f t="shared" ref="J58:L58" si="28">SUM(J59:J64)</f>
        <v>138024000</v>
      </c>
      <c r="K58" s="905"/>
      <c r="L58" s="904">
        <f t="shared" si="28"/>
        <v>120508230</v>
      </c>
      <c r="M58" s="905"/>
    </row>
    <row r="59" spans="1:14" x14ac:dyDescent="0.25">
      <c r="A59" s="575" t="s">
        <v>71</v>
      </c>
      <c r="B59" s="575">
        <f>Bat_2nd!J25</f>
        <v>0</v>
      </c>
      <c r="C59" s="17">
        <f>Bat_2nd!K25</f>
        <v>0</v>
      </c>
      <c r="D59" s="617">
        <f>Bat_2nd!D37</f>
        <v>0</v>
      </c>
      <c r="E59" s="17">
        <f>Bat_2nd!E37</f>
        <v>0</v>
      </c>
      <c r="F59" s="575"/>
      <c r="G59" s="17"/>
      <c r="H59" s="599"/>
      <c r="I59" s="575"/>
      <c r="J59" s="902">
        <f t="shared" ref="J59:J64" si="29">C20+G20+K20+C39+G39+K39+C59+G59</f>
        <v>21147000</v>
      </c>
      <c r="K59" s="903"/>
      <c r="L59" s="902">
        <f t="shared" ref="L59:L64" si="30">E20+I20+M20+E39+I39+M39+E59+I59</f>
        <v>18322600</v>
      </c>
      <c r="M59" s="903"/>
    </row>
    <row r="60" spans="1:14" x14ac:dyDescent="0.25">
      <c r="A60" s="575" t="s">
        <v>72</v>
      </c>
      <c r="B60" s="617">
        <f>Bat_2nd!J26</f>
        <v>0</v>
      </c>
      <c r="C60" s="17">
        <f>Bat_2nd!K26</f>
        <v>0</v>
      </c>
      <c r="D60" s="728">
        <f>Bat_2nd!D38</f>
        <v>0</v>
      </c>
      <c r="E60" s="17">
        <f>Bat_2nd!E38</f>
        <v>0</v>
      </c>
      <c r="F60" s="575"/>
      <c r="G60" s="17"/>
      <c r="H60" s="600"/>
      <c r="I60" s="17"/>
      <c r="J60" s="902">
        <f t="shared" si="29"/>
        <v>24595000</v>
      </c>
      <c r="K60" s="903"/>
      <c r="L60" s="902">
        <f t="shared" si="30"/>
        <v>23822210</v>
      </c>
      <c r="M60" s="903"/>
    </row>
    <row r="61" spans="1:14" x14ac:dyDescent="0.25">
      <c r="A61" s="575" t="s">
        <v>73</v>
      </c>
      <c r="B61" s="617">
        <f>Bat_2nd!J27</f>
        <v>0</v>
      </c>
      <c r="C61" s="17">
        <f>Bat_2nd!K27</f>
        <v>0</v>
      </c>
      <c r="D61" s="728">
        <f>Bat_2nd!D39</f>
        <v>0</v>
      </c>
      <c r="E61" s="17">
        <f>Bat_2nd!E39</f>
        <v>0</v>
      </c>
      <c r="F61" s="575"/>
      <c r="G61" s="17"/>
      <c r="H61" s="600"/>
      <c r="I61" s="17"/>
      <c r="J61" s="902">
        <f t="shared" si="29"/>
        <v>22365000</v>
      </c>
      <c r="K61" s="903"/>
      <c r="L61" s="902">
        <f t="shared" si="30"/>
        <v>17749400</v>
      </c>
      <c r="M61" s="903"/>
    </row>
    <row r="62" spans="1:14" x14ac:dyDescent="0.25">
      <c r="A62" s="575" t="s">
        <v>74</v>
      </c>
      <c r="B62" s="617">
        <f>Bat_2nd!J28</f>
        <v>0</v>
      </c>
      <c r="C62" s="17">
        <f>Bat_2nd!K28</f>
        <v>0</v>
      </c>
      <c r="D62" s="728">
        <f>Bat_2nd!D40</f>
        <v>0</v>
      </c>
      <c r="E62" s="17">
        <f>Bat_2nd!E40</f>
        <v>0</v>
      </c>
      <c r="F62" s="575"/>
      <c r="G62" s="17"/>
      <c r="H62" s="600"/>
      <c r="I62" s="17"/>
      <c r="J62" s="902">
        <f t="shared" si="29"/>
        <v>32264000</v>
      </c>
      <c r="K62" s="903"/>
      <c r="L62" s="902">
        <f t="shared" si="30"/>
        <v>23094100</v>
      </c>
      <c r="M62" s="903"/>
    </row>
    <row r="63" spans="1:14" x14ac:dyDescent="0.25">
      <c r="A63" s="575" t="s">
        <v>75</v>
      </c>
      <c r="B63" s="617">
        <f>Bat_2nd!J29</f>
        <v>0</v>
      </c>
      <c r="C63" s="17">
        <f>Bat_2nd!K29</f>
        <v>0</v>
      </c>
      <c r="D63" s="728">
        <f>Bat_2nd!D41</f>
        <v>0</v>
      </c>
      <c r="E63" s="17">
        <f>Bat_2nd!E41</f>
        <v>0</v>
      </c>
      <c r="F63" s="575"/>
      <c r="G63" s="17"/>
      <c r="H63" s="599"/>
      <c r="I63" s="17"/>
      <c r="J63" s="902">
        <f t="shared" si="29"/>
        <v>22989000</v>
      </c>
      <c r="K63" s="903"/>
      <c r="L63" s="902">
        <f t="shared" si="30"/>
        <v>22632920</v>
      </c>
      <c r="M63" s="903"/>
    </row>
    <row r="64" spans="1:14" x14ac:dyDescent="0.25">
      <c r="A64" s="575" t="s">
        <v>76</v>
      </c>
      <c r="B64" s="617">
        <f>Bat_2nd!J30</f>
        <v>0</v>
      </c>
      <c r="C64" s="17">
        <f>Bat_2nd!K30</f>
        <v>0</v>
      </c>
      <c r="D64" s="728">
        <f>Bat_2nd!D42</f>
        <v>0</v>
      </c>
      <c r="E64" s="17">
        <f>Bat_2nd!E42</f>
        <v>0</v>
      </c>
      <c r="F64" s="575"/>
      <c r="G64" s="17"/>
      <c r="H64" s="599"/>
      <c r="I64" s="575"/>
      <c r="J64" s="902">
        <f t="shared" si="29"/>
        <v>14664000</v>
      </c>
      <c r="K64" s="903"/>
      <c r="L64" s="902">
        <f t="shared" si="30"/>
        <v>14887000</v>
      </c>
      <c r="M64" s="903"/>
    </row>
  </sheetData>
  <mergeCells count="65">
    <mergeCell ref="A8:A10"/>
    <mergeCell ref="B8:E8"/>
    <mergeCell ref="F8:I8"/>
    <mergeCell ref="J8:M8"/>
    <mergeCell ref="B9:C9"/>
    <mergeCell ref="D9:E9"/>
    <mergeCell ref="F9:G9"/>
    <mergeCell ref="H9:I9"/>
    <mergeCell ref="J9:K9"/>
    <mergeCell ref="L9:M9"/>
    <mergeCell ref="A1:M1"/>
    <mergeCell ref="A2:M2"/>
    <mergeCell ref="A3:M3"/>
    <mergeCell ref="A5:M5"/>
    <mergeCell ref="A6:M6"/>
    <mergeCell ref="A27:A29"/>
    <mergeCell ref="B27:E27"/>
    <mergeCell ref="F27:I27"/>
    <mergeCell ref="J27:M27"/>
    <mergeCell ref="B28:C28"/>
    <mergeCell ref="D28:E28"/>
    <mergeCell ref="F28:G28"/>
    <mergeCell ref="H28:I28"/>
    <mergeCell ref="J28:K28"/>
    <mergeCell ref="L28:M28"/>
    <mergeCell ref="A47:A49"/>
    <mergeCell ref="B47:E47"/>
    <mergeCell ref="F47:I47"/>
    <mergeCell ref="J47:M47"/>
    <mergeCell ref="B48:C48"/>
    <mergeCell ref="J54:K54"/>
    <mergeCell ref="L54:M54"/>
    <mergeCell ref="D48:E48"/>
    <mergeCell ref="F48:G48"/>
    <mergeCell ref="H48:I48"/>
    <mergeCell ref="J48:K49"/>
    <mergeCell ref="L48:M49"/>
    <mergeCell ref="J51:K51"/>
    <mergeCell ref="L51:M51"/>
    <mergeCell ref="J63:K63"/>
    <mergeCell ref="L63:M63"/>
    <mergeCell ref="J64:K64"/>
    <mergeCell ref="L64:M64"/>
    <mergeCell ref="J59:K59"/>
    <mergeCell ref="L59:M59"/>
    <mergeCell ref="J60:K60"/>
    <mergeCell ref="L60:M60"/>
    <mergeCell ref="J61:K61"/>
    <mergeCell ref="L61:M61"/>
    <mergeCell ref="J58:K58"/>
    <mergeCell ref="L58:M58"/>
    <mergeCell ref="J50:K50"/>
    <mergeCell ref="L50:M50"/>
    <mergeCell ref="J62:K62"/>
    <mergeCell ref="L62:M62"/>
    <mergeCell ref="J55:K55"/>
    <mergeCell ref="L55:M55"/>
    <mergeCell ref="J56:K56"/>
    <mergeCell ref="L56:M56"/>
    <mergeCell ref="J57:K57"/>
    <mergeCell ref="L57:M57"/>
    <mergeCell ref="J52:K52"/>
    <mergeCell ref="L52:M52"/>
    <mergeCell ref="J53:K53"/>
    <mergeCell ref="L53:M53"/>
  </mergeCells>
  <pageMargins left="0.56000000000000005" right="0.15" top="0.59" bottom="0.75" header="0.79"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126</vt:i4>
      </vt:variant>
    </vt:vector>
  </HeadingPairs>
  <TitlesOfParts>
    <vt:vector size="207" baseType="lpstr">
      <vt:lpstr>Summary</vt:lpstr>
      <vt:lpstr>BUB-Summary</vt:lpstr>
      <vt:lpstr>Aurora</vt:lpstr>
      <vt:lpstr>Sheet4 (3)</vt:lpstr>
      <vt:lpstr>Sheet4 (2)</vt:lpstr>
      <vt:lpstr>Summary2015</vt:lpstr>
      <vt:lpstr>Aurora_Lone District</vt:lpstr>
      <vt:lpstr>Bataan</vt:lpstr>
      <vt:lpstr>Bat</vt:lpstr>
      <vt:lpstr>Bat_1st</vt:lpstr>
      <vt:lpstr>Bat_2nd</vt:lpstr>
      <vt:lpstr>Bulacan</vt:lpstr>
      <vt:lpstr>Bul</vt:lpstr>
      <vt:lpstr>Bul_1st </vt:lpstr>
      <vt:lpstr>Bul_2nd</vt:lpstr>
      <vt:lpstr>Bul_3rd</vt:lpstr>
      <vt:lpstr>Bul_4th</vt:lpstr>
      <vt:lpstr>Bul_Lone</vt:lpstr>
      <vt:lpstr>Nueva Ecija</vt:lpstr>
      <vt:lpstr>NE</vt:lpstr>
      <vt:lpstr>NE_1st</vt:lpstr>
      <vt:lpstr>NE_2nd</vt:lpstr>
      <vt:lpstr>NE_3rd</vt:lpstr>
      <vt:lpstr>NE_4th</vt:lpstr>
      <vt:lpstr>Pampanga</vt:lpstr>
      <vt:lpstr>Pamp</vt:lpstr>
      <vt:lpstr>Pamp_1st</vt:lpstr>
      <vt:lpstr>Pamp_2nd</vt:lpstr>
      <vt:lpstr>Pamp_3rd</vt:lpstr>
      <vt:lpstr>Pamp_4th</vt:lpstr>
      <vt:lpstr>Tarlac</vt:lpstr>
      <vt:lpstr>Tar</vt:lpstr>
      <vt:lpstr>Tar_1st</vt:lpstr>
      <vt:lpstr>Tar_2nd</vt:lpstr>
      <vt:lpstr>Tar_3rd</vt:lpstr>
      <vt:lpstr>Zambales</vt:lpstr>
      <vt:lpstr>BUB-AURORA</vt:lpstr>
      <vt:lpstr>2nd Dist-Bataan (2)</vt:lpstr>
      <vt:lpstr>1D-Bat</vt:lpstr>
      <vt:lpstr>BUB-1D-Bat</vt:lpstr>
      <vt:lpstr>2D-Bat</vt:lpstr>
      <vt:lpstr>1D-Bul</vt:lpstr>
      <vt:lpstr>BUB-1D-Bul</vt:lpstr>
      <vt:lpstr>2D-Bul</vt:lpstr>
      <vt:lpstr>BUB-2D-Bul </vt:lpstr>
      <vt:lpstr>3D-Bul</vt:lpstr>
      <vt:lpstr>BUB-3D-Bul</vt:lpstr>
      <vt:lpstr>4D-Bul</vt:lpstr>
      <vt:lpstr>BUB-4D-Bul </vt:lpstr>
      <vt:lpstr>5D-Bul</vt:lpstr>
      <vt:lpstr>1D-NE</vt:lpstr>
      <vt:lpstr>BUB-1D-NE</vt:lpstr>
      <vt:lpstr>2D-NE</vt:lpstr>
      <vt:lpstr>BUB-2D-NE </vt:lpstr>
      <vt:lpstr>3D-NE</vt:lpstr>
      <vt:lpstr>BUB-3D-NE </vt:lpstr>
      <vt:lpstr>4D-NE</vt:lpstr>
      <vt:lpstr>1D-Pamp</vt:lpstr>
      <vt:lpstr>2D-Pamp </vt:lpstr>
      <vt:lpstr>BUB-2D-Pamp</vt:lpstr>
      <vt:lpstr>3D-Pamp </vt:lpstr>
      <vt:lpstr>BUB-3D-Pamp </vt:lpstr>
      <vt:lpstr>4D-Pamp</vt:lpstr>
      <vt:lpstr>BUB-4D-Pamp </vt:lpstr>
      <vt:lpstr>1D-Tarlac</vt:lpstr>
      <vt:lpstr>BUB-1D-Tarlac </vt:lpstr>
      <vt:lpstr>2D-Tarlac</vt:lpstr>
      <vt:lpstr>BUB-2D-Tarlac </vt:lpstr>
      <vt:lpstr>3D-Tarlac </vt:lpstr>
      <vt:lpstr>BUB-3D-Tarlac  </vt:lpstr>
      <vt:lpstr>1D-Zamb</vt:lpstr>
      <vt:lpstr>BUB-1D-Zamb</vt:lpstr>
      <vt:lpstr>2D-Zamb</vt:lpstr>
      <vt:lpstr>BUB-2D-Zamb</vt:lpstr>
      <vt:lpstr>Olongapo City</vt:lpstr>
      <vt:lpstr>Sheet2</vt:lpstr>
      <vt:lpstr>Sheet3</vt:lpstr>
      <vt:lpstr>Zamb</vt:lpstr>
      <vt:lpstr>Zamb_1st</vt:lpstr>
      <vt:lpstr>Zamb_2nd</vt:lpstr>
      <vt:lpstr>Sheet10</vt:lpstr>
      <vt:lpstr>'1D-Bat'!Print_Area</vt:lpstr>
      <vt:lpstr>'1D-Bul'!Print_Area</vt:lpstr>
      <vt:lpstr>'1D-NE'!Print_Area</vt:lpstr>
      <vt:lpstr>'1D-Pamp'!Print_Area</vt:lpstr>
      <vt:lpstr>'1D-Tarlac'!Print_Area</vt:lpstr>
      <vt:lpstr>'1D-Zamb'!Print_Area</vt:lpstr>
      <vt:lpstr>'2D-Bat'!Print_Area</vt:lpstr>
      <vt:lpstr>'2D-Bul'!Print_Area</vt:lpstr>
      <vt:lpstr>'2D-NE'!Print_Area</vt:lpstr>
      <vt:lpstr>'2D-Pamp '!Print_Area</vt:lpstr>
      <vt:lpstr>'2D-Tarlac'!Print_Area</vt:lpstr>
      <vt:lpstr>'2D-Zamb'!Print_Area</vt:lpstr>
      <vt:lpstr>'2nd Dist-Bataan (2)'!Print_Area</vt:lpstr>
      <vt:lpstr>'3D-Bul'!Print_Area</vt:lpstr>
      <vt:lpstr>'3D-NE'!Print_Area</vt:lpstr>
      <vt:lpstr>'3D-Pamp '!Print_Area</vt:lpstr>
      <vt:lpstr>'3D-Tarlac '!Print_Area</vt:lpstr>
      <vt:lpstr>'4D-Bul'!Print_Area</vt:lpstr>
      <vt:lpstr>'4D-NE'!Print_Area</vt:lpstr>
      <vt:lpstr>'4D-Pamp'!Print_Area</vt:lpstr>
      <vt:lpstr>'5D-Bul'!Print_Area</vt:lpstr>
      <vt:lpstr>Aurora!Print_Area</vt:lpstr>
      <vt:lpstr>'Aurora_Lone District'!Print_Area</vt:lpstr>
      <vt:lpstr>Bat!Print_Area</vt:lpstr>
      <vt:lpstr>Bat_1st!Print_Area</vt:lpstr>
      <vt:lpstr>Bat_2nd!Print_Area</vt:lpstr>
      <vt:lpstr>Bataan!Print_Area</vt:lpstr>
      <vt:lpstr>'BUB-1D-Bat'!Print_Area</vt:lpstr>
      <vt:lpstr>'BUB-1D-Bul'!Print_Area</vt:lpstr>
      <vt:lpstr>'BUB-1D-NE'!Print_Area</vt:lpstr>
      <vt:lpstr>'BUB-1D-Tarlac '!Print_Area</vt:lpstr>
      <vt:lpstr>'BUB-1D-Zamb'!Print_Area</vt:lpstr>
      <vt:lpstr>'BUB-2D-Bul '!Print_Area</vt:lpstr>
      <vt:lpstr>'BUB-2D-NE '!Print_Area</vt:lpstr>
      <vt:lpstr>'BUB-2D-Pamp'!Print_Area</vt:lpstr>
      <vt:lpstr>'BUB-2D-Tarlac '!Print_Area</vt:lpstr>
      <vt:lpstr>'BUB-2D-Zamb'!Print_Area</vt:lpstr>
      <vt:lpstr>'BUB-3D-Bul'!Print_Area</vt:lpstr>
      <vt:lpstr>'BUB-3D-NE '!Print_Area</vt:lpstr>
      <vt:lpstr>'BUB-3D-Pamp '!Print_Area</vt:lpstr>
      <vt:lpstr>'BUB-3D-Tarlac  '!Print_Area</vt:lpstr>
      <vt:lpstr>'BUB-4D-Bul '!Print_Area</vt:lpstr>
      <vt:lpstr>'BUB-4D-Pamp '!Print_Area</vt:lpstr>
      <vt:lpstr>'BUB-AURORA'!Print_Area</vt:lpstr>
      <vt:lpstr>'BUB-Summary'!Print_Area</vt:lpstr>
      <vt:lpstr>Bul!Print_Area</vt:lpstr>
      <vt:lpstr>'Bul_1st '!Print_Area</vt:lpstr>
      <vt:lpstr>Bul_2nd!Print_Area</vt:lpstr>
      <vt:lpstr>Bul_3rd!Print_Area</vt:lpstr>
      <vt:lpstr>Bul_4th!Print_Area</vt:lpstr>
      <vt:lpstr>Bul_Lone!Print_Area</vt:lpstr>
      <vt:lpstr>Bulacan!Print_Area</vt:lpstr>
      <vt:lpstr>NE!Print_Area</vt:lpstr>
      <vt:lpstr>NE_1st!Print_Area</vt:lpstr>
      <vt:lpstr>NE_2nd!Print_Area</vt:lpstr>
      <vt:lpstr>NE_3rd!Print_Area</vt:lpstr>
      <vt:lpstr>NE_4th!Print_Area</vt:lpstr>
      <vt:lpstr>'Nueva Ecija'!Print_Area</vt:lpstr>
      <vt:lpstr>'Olongapo City'!Print_Area</vt:lpstr>
      <vt:lpstr>Pamp!Print_Area</vt:lpstr>
      <vt:lpstr>Pamp_1st!Print_Area</vt:lpstr>
      <vt:lpstr>Pamp_2nd!Print_Area</vt:lpstr>
      <vt:lpstr>Pamp_3rd!Print_Area</vt:lpstr>
      <vt:lpstr>Pamp_4th!Print_Area</vt:lpstr>
      <vt:lpstr>Pampanga!Print_Area</vt:lpstr>
      <vt:lpstr>'Sheet4 (3)'!Print_Area</vt:lpstr>
      <vt:lpstr>Summary!Print_Area</vt:lpstr>
      <vt:lpstr>Summary2015!Print_Area</vt:lpstr>
      <vt:lpstr>Tar!Print_Area</vt:lpstr>
      <vt:lpstr>Tar_1st!Print_Area</vt:lpstr>
      <vt:lpstr>Tar_2nd!Print_Area</vt:lpstr>
      <vt:lpstr>Tar_3rd!Print_Area</vt:lpstr>
      <vt:lpstr>Tarlac!Print_Area</vt:lpstr>
      <vt:lpstr>Zamb!Print_Area</vt:lpstr>
      <vt:lpstr>Zamb_1st!Print_Area</vt:lpstr>
      <vt:lpstr>Zamb_2nd!Print_Area</vt:lpstr>
      <vt:lpstr>Zambales!Print_Area</vt:lpstr>
      <vt:lpstr>'1D-Bat'!Print_Titles</vt:lpstr>
      <vt:lpstr>'1D-Bul'!Print_Titles</vt:lpstr>
      <vt:lpstr>'1D-NE'!Print_Titles</vt:lpstr>
      <vt:lpstr>'1D-Pamp'!Print_Titles</vt:lpstr>
      <vt:lpstr>'1D-Tarlac'!Print_Titles</vt:lpstr>
      <vt:lpstr>'1D-Zamb'!Print_Titles</vt:lpstr>
      <vt:lpstr>'2D-Bat'!Print_Titles</vt:lpstr>
      <vt:lpstr>'2D-Bul'!Print_Titles</vt:lpstr>
      <vt:lpstr>'2D-NE'!Print_Titles</vt:lpstr>
      <vt:lpstr>'2D-Pamp '!Print_Titles</vt:lpstr>
      <vt:lpstr>'2D-Tarlac'!Print_Titles</vt:lpstr>
      <vt:lpstr>'2D-Zamb'!Print_Titles</vt:lpstr>
      <vt:lpstr>'2nd Dist-Bataan (2)'!Print_Titles</vt:lpstr>
      <vt:lpstr>'3D-Bul'!Print_Titles</vt:lpstr>
      <vt:lpstr>'3D-NE'!Print_Titles</vt:lpstr>
      <vt:lpstr>'3D-Pamp '!Print_Titles</vt:lpstr>
      <vt:lpstr>'3D-Tarlac '!Print_Titles</vt:lpstr>
      <vt:lpstr>'4D-Bul'!Print_Titles</vt:lpstr>
      <vt:lpstr>'4D-NE'!Print_Titles</vt:lpstr>
      <vt:lpstr>'4D-Pamp'!Print_Titles</vt:lpstr>
      <vt:lpstr>'5D-Bul'!Print_Titles</vt:lpstr>
      <vt:lpstr>Aurora!Print_Titles</vt:lpstr>
      <vt:lpstr>Bataan!Print_Titles</vt:lpstr>
      <vt:lpstr>'BUB-1D-Bat'!Print_Titles</vt:lpstr>
      <vt:lpstr>'BUB-1D-Bul'!Print_Titles</vt:lpstr>
      <vt:lpstr>'BUB-1D-NE'!Print_Titles</vt:lpstr>
      <vt:lpstr>'BUB-1D-Tarlac '!Print_Titles</vt:lpstr>
      <vt:lpstr>'BUB-1D-Zamb'!Print_Titles</vt:lpstr>
      <vt:lpstr>'BUB-2D-Bul '!Print_Titles</vt:lpstr>
      <vt:lpstr>'BUB-2D-NE '!Print_Titles</vt:lpstr>
      <vt:lpstr>'BUB-2D-Pamp'!Print_Titles</vt:lpstr>
      <vt:lpstr>'BUB-2D-Tarlac '!Print_Titles</vt:lpstr>
      <vt:lpstr>'BUB-2D-Zamb'!Print_Titles</vt:lpstr>
      <vt:lpstr>'BUB-3D-Bul'!Print_Titles</vt:lpstr>
      <vt:lpstr>'BUB-3D-NE '!Print_Titles</vt:lpstr>
      <vt:lpstr>'BUB-3D-Pamp '!Print_Titles</vt:lpstr>
      <vt:lpstr>'BUB-3D-Tarlac  '!Print_Titles</vt:lpstr>
      <vt:lpstr>'BUB-4D-Bul '!Print_Titles</vt:lpstr>
      <vt:lpstr>'BUB-4D-Pamp '!Print_Titles</vt:lpstr>
      <vt:lpstr>'BUB-AURORA'!Print_Titles</vt:lpstr>
      <vt:lpstr>'BUB-Summary'!Print_Titles</vt:lpstr>
      <vt:lpstr>Bulacan!Print_Titles</vt:lpstr>
      <vt:lpstr>'Nueva Ecija'!Print_Titles</vt:lpstr>
      <vt:lpstr>'Olongapo City'!Print_Titles</vt:lpstr>
      <vt:lpstr>Pampanga!Print_Titles</vt:lpstr>
      <vt:lpstr>'Sheet4 (3)'!Print_Titles</vt:lpstr>
      <vt:lpstr>Summary!Print_Titles</vt:lpstr>
      <vt:lpstr>Tarlac!Print_Titles</vt:lpstr>
      <vt:lpstr>Zambales!Print_Titles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Grace Zablan</cp:lastModifiedBy>
  <cp:lastPrinted>2016-01-21T02:26:24Z</cp:lastPrinted>
  <dcterms:created xsi:type="dcterms:W3CDTF">2013-11-05T09:01:13Z</dcterms:created>
  <dcterms:modified xsi:type="dcterms:W3CDTF">2016-01-21T02:42:25Z</dcterms:modified>
</cp:coreProperties>
</file>